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405" windowWidth="18195" windowHeight="11865" firstSheet="28" activeTab="37"/>
  </bookViews>
  <sheets>
    <sheet name="3.1" sheetId="1" r:id="rId1"/>
    <sheet name="С3.1" sheetId="2" r:id="rId2"/>
    <sheet name="3.2" sheetId="3" r:id="rId3"/>
    <sheet name="С3.2" sheetId="4" r:id="rId4"/>
    <sheet name="3.3" sheetId="5" r:id="rId5"/>
    <sheet name="С3.3" sheetId="6" r:id="rId6"/>
    <sheet name="3.4" sheetId="7" r:id="rId7"/>
    <sheet name="С3.4" sheetId="8" r:id="rId8"/>
    <sheet name="3.6" sheetId="49" r:id="rId9"/>
    <sheet name="С3.6" sheetId="50" r:id="rId10"/>
    <sheet name="3.5" sheetId="9" r:id="rId11"/>
    <sheet name="С3.5" sheetId="10" r:id="rId12"/>
    <sheet name="6.1" sheetId="22" r:id="rId13"/>
    <sheet name="6.2" sheetId="24" r:id="rId14"/>
    <sheet name="6.3" sheetId="26" r:id="rId15"/>
    <sheet name="6.4" sheetId="28" r:id="rId16"/>
    <sheet name="6.5" sheetId="30" r:id="rId17"/>
    <sheet name="6.6" sheetId="34" r:id="rId18"/>
    <sheet name="6.7" sheetId="53" r:id="rId19"/>
    <sheet name="6.8" sheetId="54" r:id="rId20"/>
    <sheet name="6.9" sheetId="55" r:id="rId21"/>
    <sheet name="6.10" sheetId="56" r:id="rId22"/>
    <sheet name="6.11" sheetId="57" r:id="rId23"/>
    <sheet name="6.12" sheetId="58" r:id="rId24"/>
    <sheet name="С6.1" sheetId="23" r:id="rId25"/>
    <sheet name="С6.2" sheetId="25" r:id="rId26"/>
    <sheet name="С6.3" sheetId="27" r:id="rId27"/>
    <sheet name="С6.4" sheetId="29" r:id="rId28"/>
    <sheet name="С6.5" sheetId="31" r:id="rId29"/>
    <sheet name="С6.6" sheetId="35" r:id="rId30"/>
    <sheet name="С6.7" sheetId="59" r:id="rId31"/>
    <sheet name="С6.8" sheetId="60" r:id="rId32"/>
    <sheet name="С6.9" sheetId="61" r:id="rId33"/>
    <sheet name="С6.10" sheetId="62" r:id="rId34"/>
    <sheet name="С6.11" sheetId="63" r:id="rId35"/>
    <sheet name="С6.12" sheetId="64" r:id="rId36"/>
    <sheet name="Ставки " sheetId="11" r:id="rId37"/>
    <sheet name="за 1 кВт" sheetId="33" r:id="rId38"/>
    <sheet name="план16-17" sheetId="52" r:id="rId39"/>
  </sheets>
  <calcPr calcId="145621"/>
</workbook>
</file>

<file path=xl/calcChain.xml><?xml version="1.0" encoding="utf-8"?>
<calcChain xmlns="http://schemas.openxmlformats.org/spreadsheetml/2006/main">
  <c r="F34" i="58" l="1"/>
  <c r="D34" i="58"/>
  <c r="F33" i="58"/>
  <c r="D33" i="58"/>
  <c r="F29" i="58"/>
  <c r="D29" i="58"/>
  <c r="F34" i="57"/>
  <c r="D34" i="57"/>
  <c r="F33" i="57"/>
  <c r="D33" i="57"/>
  <c r="F29" i="57"/>
  <c r="D29" i="57"/>
  <c r="F34" i="56"/>
  <c r="D34" i="56"/>
  <c r="F33" i="56"/>
  <c r="D33" i="56"/>
  <c r="F29" i="56"/>
  <c r="D29" i="56"/>
  <c r="F34" i="55"/>
  <c r="D34" i="55"/>
  <c r="F33" i="55"/>
  <c r="D33" i="55"/>
  <c r="F29" i="55"/>
  <c r="D29" i="55"/>
  <c r="F34" i="54"/>
  <c r="D34" i="54"/>
  <c r="F33" i="54"/>
  <c r="D33" i="54"/>
  <c r="F29" i="54"/>
  <c r="D29" i="54"/>
  <c r="F34" i="53"/>
  <c r="D34" i="53"/>
  <c r="F33" i="53"/>
  <c r="D33" i="53"/>
  <c r="F29" i="53"/>
  <c r="D29" i="53"/>
  <c r="F34" i="34"/>
  <c r="D34" i="34"/>
  <c r="F33" i="34"/>
  <c r="D33" i="34"/>
  <c r="F29" i="34"/>
  <c r="D29" i="34"/>
  <c r="F34" i="30"/>
  <c r="D34" i="30"/>
  <c r="F33" i="30"/>
  <c r="D33" i="30"/>
  <c r="F29" i="30"/>
  <c r="D29" i="30"/>
  <c r="F34" i="28"/>
  <c r="D34" i="28"/>
  <c r="F33" i="28"/>
  <c r="D33" i="28"/>
  <c r="F29" i="28"/>
  <c r="D29" i="28"/>
  <c r="F34" i="26"/>
  <c r="D34" i="26"/>
  <c r="F33" i="26"/>
  <c r="D33" i="26"/>
  <c r="F29" i="26"/>
  <c r="D29" i="26"/>
  <c r="F34" i="24"/>
  <c r="D34" i="24"/>
  <c r="F33" i="24"/>
  <c r="D33" i="24"/>
  <c r="F29" i="24"/>
  <c r="D29" i="24"/>
  <c r="F34" i="22"/>
  <c r="D34" i="22"/>
  <c r="F33" i="22"/>
  <c r="D33" i="22"/>
  <c r="F29" i="22"/>
  <c r="D29" i="22"/>
  <c r="F34" i="9"/>
  <c r="D34" i="9"/>
  <c r="F33" i="9"/>
  <c r="D33" i="9"/>
  <c r="F29" i="9"/>
  <c r="D29" i="9"/>
  <c r="F34" i="49"/>
  <c r="D34" i="49"/>
  <c r="F33" i="49"/>
  <c r="D33" i="49"/>
  <c r="F29" i="49"/>
  <c r="D29" i="49"/>
  <c r="F34" i="7"/>
  <c r="D34" i="7"/>
  <c r="F33" i="7"/>
  <c r="D33" i="7"/>
  <c r="F29" i="7"/>
  <c r="D29" i="7"/>
  <c r="F29" i="5"/>
  <c r="F34" i="5"/>
  <c r="D34" i="5"/>
  <c r="F33" i="5"/>
  <c r="D33" i="5"/>
  <c r="D29" i="5"/>
  <c r="F34" i="3"/>
  <c r="D34" i="3"/>
  <c r="F33" i="3"/>
  <c r="D33" i="3"/>
  <c r="F29" i="3"/>
  <c r="D29" i="3"/>
  <c r="F36" i="58" l="1"/>
  <c r="F22" i="58"/>
  <c r="F17" i="58"/>
  <c r="F12" i="58"/>
  <c r="F26" i="58"/>
  <c r="F26" i="57"/>
  <c r="F22" i="57"/>
  <c r="F17" i="57"/>
  <c r="F12" i="57"/>
  <c r="F22" i="56"/>
  <c r="F17" i="56"/>
  <c r="F12" i="56"/>
  <c r="F26" i="56"/>
  <c r="F22" i="55"/>
  <c r="F17" i="55"/>
  <c r="F12" i="55"/>
  <c r="F26" i="55"/>
  <c r="F22" i="54"/>
  <c r="F17" i="54"/>
  <c r="F12" i="54"/>
  <c r="F22" i="53"/>
  <c r="F17" i="53"/>
  <c r="F12" i="53"/>
  <c r="F26" i="53" s="1"/>
  <c r="F26" i="54" l="1"/>
  <c r="F36" i="54"/>
  <c r="F36" i="53"/>
  <c r="J46" i="1"/>
  <c r="J44" i="1"/>
  <c r="C47" i="58" l="1"/>
  <c r="E47" i="58" s="1"/>
  <c r="F47" i="58" s="1"/>
  <c r="C43" i="58"/>
  <c r="C45" i="58"/>
  <c r="E45" i="58" s="1"/>
  <c r="F45" i="58" s="1"/>
  <c r="F36" i="57"/>
  <c r="C47" i="57" s="1"/>
  <c r="E47" i="57" s="1"/>
  <c r="F47" i="57" s="1"/>
  <c r="F36" i="56"/>
  <c r="C47" i="56" s="1"/>
  <c r="E47" i="56" s="1"/>
  <c r="F47" i="56" s="1"/>
  <c r="C43" i="56"/>
  <c r="C45" i="56"/>
  <c r="E45" i="56" s="1"/>
  <c r="F45" i="56" s="1"/>
  <c r="F36" i="55"/>
  <c r="C47" i="55" s="1"/>
  <c r="E47" i="55" s="1"/>
  <c r="F47" i="55" s="1"/>
  <c r="C45" i="54"/>
  <c r="E45" i="54" s="1"/>
  <c r="F45" i="54" s="1"/>
  <c r="C47" i="54"/>
  <c r="E47" i="54" s="1"/>
  <c r="F47" i="54" s="1"/>
  <c r="C43" i="54"/>
  <c r="C47" i="53"/>
  <c r="E47" i="53" s="1"/>
  <c r="F47" i="53" s="1"/>
  <c r="C43" i="53"/>
  <c r="C45" i="53"/>
  <c r="E45" i="53" s="1"/>
  <c r="F45" i="53" s="1"/>
  <c r="C43" i="57" l="1"/>
  <c r="C45" i="57"/>
  <c r="E45" i="57" s="1"/>
  <c r="F45" i="57" s="1"/>
  <c r="C43" i="55"/>
  <c r="C45" i="55"/>
  <c r="E45" i="55" s="1"/>
  <c r="F45" i="55" s="1"/>
  <c r="C49" i="58"/>
  <c r="E43" i="58"/>
  <c r="C49" i="57"/>
  <c r="E43" i="57"/>
  <c r="C49" i="56"/>
  <c r="E43" i="56"/>
  <c r="E43" i="55"/>
  <c r="C49" i="54"/>
  <c r="E43" i="54"/>
  <c r="C49" i="53"/>
  <c r="E43" i="53"/>
  <c r="C49" i="55" l="1"/>
  <c r="E49" i="58"/>
  <c r="F43" i="58"/>
  <c r="F49" i="58" s="1"/>
  <c r="F50" i="58" s="1"/>
  <c r="D8" i="64" s="1"/>
  <c r="D10" i="64" s="1"/>
  <c r="E25" i="11" s="1"/>
  <c r="D25" i="11" s="1"/>
  <c r="E49" i="57"/>
  <c r="F43" i="57"/>
  <c r="F49" i="57" s="1"/>
  <c r="F50" i="57" s="1"/>
  <c r="D8" i="63" s="1"/>
  <c r="D10" i="63" s="1"/>
  <c r="E24" i="11" s="1"/>
  <c r="D24" i="11" s="1"/>
  <c r="E49" i="56"/>
  <c r="F43" i="56"/>
  <c r="F49" i="56" s="1"/>
  <c r="F50" i="56" s="1"/>
  <c r="D8" i="62" s="1"/>
  <c r="D10" i="62" s="1"/>
  <c r="E23" i="11" s="1"/>
  <c r="D23" i="11" s="1"/>
  <c r="E49" i="55"/>
  <c r="F43" i="55"/>
  <c r="F49" i="55" s="1"/>
  <c r="F50" i="55" s="1"/>
  <c r="D8" i="61" s="1"/>
  <c r="D10" i="61" s="1"/>
  <c r="E22" i="11" s="1"/>
  <c r="D22" i="11" s="1"/>
  <c r="E49" i="54"/>
  <c r="F43" i="54"/>
  <c r="F49" i="54" s="1"/>
  <c r="F50" i="54" s="1"/>
  <c r="D8" i="60" s="1"/>
  <c r="D10" i="60" s="1"/>
  <c r="E21" i="11" s="1"/>
  <c r="D21" i="11" s="1"/>
  <c r="E49" i="53"/>
  <c r="F43" i="53"/>
  <c r="F49" i="53" s="1"/>
  <c r="F50" i="53" s="1"/>
  <c r="D8" i="59" s="1"/>
  <c r="D10" i="59" s="1"/>
  <c r="E20" i="11" s="1"/>
  <c r="D20" i="11" s="1"/>
  <c r="F12" i="1" l="1"/>
  <c r="F22" i="49" l="1"/>
  <c r="F17" i="49"/>
  <c r="F26" i="49"/>
  <c r="F12" i="49"/>
  <c r="J45" i="1"/>
  <c r="J47" i="1"/>
  <c r="I49" i="1"/>
  <c r="J49" i="1"/>
  <c r="F22" i="34"/>
  <c r="F17" i="34"/>
  <c r="F12" i="34"/>
  <c r="F22" i="30"/>
  <c r="F17" i="30"/>
  <c r="F12" i="30"/>
  <c r="F26" i="30"/>
  <c r="F22" i="28"/>
  <c r="F17" i="28"/>
  <c r="F12" i="28"/>
  <c r="F22" i="26"/>
  <c r="F17" i="26"/>
  <c r="F12" i="26"/>
  <c r="F26" i="26" s="1"/>
  <c r="F22" i="24"/>
  <c r="F17" i="24"/>
  <c r="F12" i="24"/>
  <c r="F22" i="22"/>
  <c r="F17" i="22"/>
  <c r="F12" i="22"/>
  <c r="F26" i="22"/>
  <c r="F26" i="24"/>
  <c r="F26" i="28"/>
  <c r="F26" i="34"/>
  <c r="F22" i="9"/>
  <c r="F17" i="9"/>
  <c r="F12" i="9"/>
  <c r="F22" i="7"/>
  <c r="F17" i="7"/>
  <c r="F12" i="7"/>
  <c r="F26" i="7"/>
  <c r="F22" i="5"/>
  <c r="F17" i="5"/>
  <c r="F12" i="5"/>
  <c r="F22" i="3"/>
  <c r="F17" i="3"/>
  <c r="F12" i="3"/>
  <c r="F26" i="3"/>
  <c r="F17" i="1"/>
  <c r="F22" i="1"/>
  <c r="F26" i="1" s="1"/>
  <c r="F26" i="5"/>
  <c r="F26" i="9"/>
  <c r="F36" i="34"/>
  <c r="F36" i="30"/>
  <c r="C43" i="30" s="1"/>
  <c r="E43" i="30" s="1"/>
  <c r="F43" i="30" s="1"/>
  <c r="F36" i="7"/>
  <c r="C43" i="7" s="1"/>
  <c r="E43" i="7" s="1"/>
  <c r="F43" i="7" s="1"/>
  <c r="F36" i="28"/>
  <c r="C43" i="28" s="1"/>
  <c r="E43" i="28" s="1"/>
  <c r="F43" i="28" s="1"/>
  <c r="F36" i="22"/>
  <c r="C43" i="22" s="1"/>
  <c r="E43" i="22" s="1"/>
  <c r="F43" i="22" s="1"/>
  <c r="F36" i="9"/>
  <c r="C43" i="9" s="1"/>
  <c r="E43" i="9" s="1"/>
  <c r="F36" i="5"/>
  <c r="C43" i="5" s="1"/>
  <c r="E43" i="5" s="1"/>
  <c r="F43" i="5" s="1"/>
  <c r="F36" i="3"/>
  <c r="C43" i="3" s="1"/>
  <c r="E43" i="3" s="1"/>
  <c r="F43" i="3" s="1"/>
  <c r="C45" i="28"/>
  <c r="E45" i="28" s="1"/>
  <c r="F45" i="28" s="1"/>
  <c r="C45" i="22"/>
  <c r="E45" i="22" s="1"/>
  <c r="C45" i="3"/>
  <c r="E45" i="3" s="1"/>
  <c r="F45" i="3" s="1"/>
  <c r="F34" i="1"/>
  <c r="D33" i="1"/>
  <c r="D34" i="1"/>
  <c r="C45" i="30" l="1"/>
  <c r="E45" i="30" s="1"/>
  <c r="F45" i="30" s="1"/>
  <c r="C45" i="9"/>
  <c r="E45" i="9" s="1"/>
  <c r="F45" i="9" s="1"/>
  <c r="C45" i="7"/>
  <c r="E45" i="7" s="1"/>
  <c r="F45" i="7" s="1"/>
  <c r="C45" i="5"/>
  <c r="E45" i="5" s="1"/>
  <c r="F45" i="5" s="1"/>
  <c r="F29" i="1"/>
  <c r="F33" i="1"/>
  <c r="F45" i="22"/>
  <c r="F43" i="9"/>
  <c r="C43" i="34"/>
  <c r="C47" i="34"/>
  <c r="E47" i="34" s="1"/>
  <c r="F47" i="34" s="1"/>
  <c r="C45" i="34"/>
  <c r="E45" i="34" s="1"/>
  <c r="F45" i="34" s="1"/>
  <c r="D29" i="1"/>
  <c r="F36" i="26"/>
  <c r="C47" i="3"/>
  <c r="C47" i="5"/>
  <c r="C47" i="7"/>
  <c r="C47" i="9"/>
  <c r="C47" i="22"/>
  <c r="C47" i="28"/>
  <c r="C47" i="30"/>
  <c r="F36" i="24"/>
  <c r="F36" i="49"/>
  <c r="F36" i="1" l="1"/>
  <c r="C43" i="24"/>
  <c r="C47" i="24"/>
  <c r="E47" i="24" s="1"/>
  <c r="F47" i="24" s="1"/>
  <c r="C45" i="24"/>
  <c r="E45" i="24" s="1"/>
  <c r="F45" i="24" s="1"/>
  <c r="E47" i="28"/>
  <c r="C49" i="28"/>
  <c r="E47" i="9"/>
  <c r="C49" i="9"/>
  <c r="E47" i="5"/>
  <c r="C49" i="5"/>
  <c r="C45" i="49"/>
  <c r="E45" i="49" s="1"/>
  <c r="F45" i="49" s="1"/>
  <c r="C43" i="49"/>
  <c r="C47" i="49"/>
  <c r="E47" i="49" s="1"/>
  <c r="F47" i="49" s="1"/>
  <c r="E47" i="30"/>
  <c r="C49" i="30"/>
  <c r="E47" i="22"/>
  <c r="C49" i="22"/>
  <c r="E47" i="7"/>
  <c r="C49" i="7"/>
  <c r="E47" i="3"/>
  <c r="C49" i="3"/>
  <c r="C43" i="26"/>
  <c r="C47" i="26"/>
  <c r="E47" i="26" s="1"/>
  <c r="F47" i="26" s="1"/>
  <c r="C45" i="26"/>
  <c r="E45" i="26" s="1"/>
  <c r="F45" i="26" s="1"/>
  <c r="C43" i="1"/>
  <c r="C47" i="1"/>
  <c r="E47" i="1" s="1"/>
  <c r="F47" i="1" s="1"/>
  <c r="C45" i="1"/>
  <c r="E45" i="1" s="1"/>
  <c r="F45" i="1" s="1"/>
  <c r="E43" i="34"/>
  <c r="C49" i="34"/>
  <c r="E43" i="1" l="1"/>
  <c r="C49" i="1"/>
  <c r="E49" i="34"/>
  <c r="F43" i="34"/>
  <c r="F49" i="34" s="1"/>
  <c r="F50" i="34" s="1"/>
  <c r="D8" i="35" s="1"/>
  <c r="D10" i="35" s="1"/>
  <c r="E19" i="11" s="1"/>
  <c r="D19" i="11" s="1"/>
  <c r="C49" i="26"/>
  <c r="E43" i="26"/>
  <c r="F47" i="3"/>
  <c r="F49" i="3" s="1"/>
  <c r="F50" i="3" s="1"/>
  <c r="D8" i="4" s="1"/>
  <c r="D10" i="4" s="1"/>
  <c r="E8" i="11" s="1"/>
  <c r="D8" i="11" s="1"/>
  <c r="E49" i="3"/>
  <c r="F47" i="7"/>
  <c r="F49" i="7" s="1"/>
  <c r="F50" i="7" s="1"/>
  <c r="D8" i="8" s="1"/>
  <c r="D10" i="8" s="1"/>
  <c r="E11" i="11" s="1"/>
  <c r="D11" i="11" s="1"/>
  <c r="E49" i="7"/>
  <c r="F47" i="22"/>
  <c r="F49" i="22" s="1"/>
  <c r="F50" i="22" s="1"/>
  <c r="D8" i="23" s="1"/>
  <c r="D10" i="23" s="1"/>
  <c r="E14" i="11" s="1"/>
  <c r="E49" i="22"/>
  <c r="F47" i="30"/>
  <c r="F49" i="30" s="1"/>
  <c r="F50" i="30" s="1"/>
  <c r="D8" i="31" s="1"/>
  <c r="D10" i="31" s="1"/>
  <c r="E18" i="11" s="1"/>
  <c r="D18" i="11" s="1"/>
  <c r="E49" i="30"/>
  <c r="C49" i="49"/>
  <c r="E43" i="49"/>
  <c r="F47" i="5"/>
  <c r="F49" i="5" s="1"/>
  <c r="F50" i="5" s="1"/>
  <c r="D8" i="6" s="1"/>
  <c r="D10" i="6" s="1"/>
  <c r="E10" i="11" s="1"/>
  <c r="D10" i="11" s="1"/>
  <c r="E49" i="5"/>
  <c r="F47" i="9"/>
  <c r="F49" i="9" s="1"/>
  <c r="F50" i="9" s="1"/>
  <c r="D8" i="10" s="1"/>
  <c r="D10" i="10" s="1"/>
  <c r="E12" i="11" s="1"/>
  <c r="D12" i="11" s="1"/>
  <c r="E49" i="9"/>
  <c r="F47" i="28"/>
  <c r="F49" i="28" s="1"/>
  <c r="F50" i="28" s="1"/>
  <c r="D8" i="29" s="1"/>
  <c r="D10" i="29" s="1"/>
  <c r="E17" i="11" s="1"/>
  <c r="D17" i="11" s="1"/>
  <c r="E49" i="28"/>
  <c r="E43" i="24"/>
  <c r="C49" i="24"/>
  <c r="E49" i="24" l="1"/>
  <c r="F43" i="24"/>
  <c r="F49" i="24" s="1"/>
  <c r="F50" i="24" s="1"/>
  <c r="D8" i="25" s="1"/>
  <c r="D10" i="25" s="1"/>
  <c r="E15" i="11" s="1"/>
  <c r="D15" i="11" s="1"/>
  <c r="D14" i="11"/>
  <c r="F43" i="49"/>
  <c r="F49" i="49" s="1"/>
  <c r="F50" i="49" s="1"/>
  <c r="D8" i="50" s="1"/>
  <c r="D10" i="50" s="1"/>
  <c r="E13" i="11" s="1"/>
  <c r="D13" i="11" s="1"/>
  <c r="E49" i="49"/>
  <c r="E49" i="26"/>
  <c r="F43" i="26"/>
  <c r="F49" i="26" s="1"/>
  <c r="F50" i="26" s="1"/>
  <c r="D8" i="27" s="1"/>
  <c r="D10" i="27" s="1"/>
  <c r="E16" i="11" s="1"/>
  <c r="D16" i="11" s="1"/>
  <c r="E49" i="1"/>
  <c r="F43" i="1"/>
  <c r="F49" i="1" s="1"/>
  <c r="F50" i="1" s="1"/>
  <c r="D8" i="2" s="1"/>
  <c r="D10" i="2" s="1"/>
  <c r="E9" i="11" s="1"/>
  <c r="D9" i="33" l="1"/>
  <c r="D9" i="11"/>
  <c r="D8" i="33" l="1"/>
</calcChain>
</file>

<file path=xl/sharedStrings.xml><?xml version="1.0" encoding="utf-8"?>
<sst xmlns="http://schemas.openxmlformats.org/spreadsheetml/2006/main" count="1777" uniqueCount="262">
  <si>
    <t xml:space="preserve">                                                    (расчёт на 1 км) </t>
  </si>
  <si>
    <t>№№</t>
  </si>
  <si>
    <t>Состав затрат</t>
  </si>
  <si>
    <t>Номер таблицы УПС</t>
  </si>
  <si>
    <t>Расчёт затрат</t>
  </si>
  <si>
    <t xml:space="preserve">Величина </t>
  </si>
  <si>
    <t>затрат</t>
  </si>
  <si>
    <t>пп</t>
  </si>
  <si>
    <t xml:space="preserve"> (тыс.руб)</t>
  </si>
  <si>
    <t>Расчистка просеки</t>
  </si>
  <si>
    <t>Тех.часть п.2,3</t>
  </si>
  <si>
    <t>Прочие работы и затраты (зимнее удоро-</t>
  </si>
  <si>
    <t xml:space="preserve">жание, страхование, подрядные торги, </t>
  </si>
  <si>
    <t>перевозки рабочих,затраты</t>
  </si>
  <si>
    <t>связанные с командированием рабочих)</t>
  </si>
  <si>
    <t>Непредвиденные затраты</t>
  </si>
  <si>
    <t>ИТОГО в ценах 2000 года</t>
  </si>
  <si>
    <t>Составляющая стоимости строительства</t>
  </si>
  <si>
    <t>Всего в ценах</t>
  </si>
  <si>
    <t>Индекс перехода</t>
  </si>
  <si>
    <t xml:space="preserve">Всего в ценах </t>
  </si>
  <si>
    <t xml:space="preserve">Расчёт </t>
  </si>
  <si>
    <t>с коэф.накладных</t>
  </si>
  <si>
    <t>К=1,09</t>
  </si>
  <si>
    <t>(приложение №5 к УПС)</t>
  </si>
  <si>
    <t>2000 г (тыс.руб)</t>
  </si>
  <si>
    <t xml:space="preserve"> (*)</t>
  </si>
  <si>
    <t>(тыс.руб.)</t>
  </si>
  <si>
    <t>прил.2 п.26</t>
  </si>
  <si>
    <t xml:space="preserve">Всего по расчёту </t>
  </si>
  <si>
    <t xml:space="preserve">                     Укрупненный расчет стоимости строительства КЛ 0,4кВ </t>
  </si>
  <si>
    <r>
      <t>ААБлУ, ААБ</t>
    </r>
    <r>
      <rPr>
        <vertAlign val="sub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лУ, ААШвУ, ААШпУ</t>
    </r>
  </si>
  <si>
    <t>КЛ 0,4кВ марка (ААБлУ, ААБ2лУ, ААШвУ, ААШпУ)</t>
  </si>
  <si>
    <t xml:space="preserve">С покрытием кирпичом </t>
  </si>
  <si>
    <t>35-50</t>
  </si>
  <si>
    <t>137-151</t>
  </si>
  <si>
    <t>160-174</t>
  </si>
  <si>
    <t>143-157</t>
  </si>
  <si>
    <t>70-95</t>
  </si>
  <si>
    <t>168-190</t>
  </si>
  <si>
    <t>191-212</t>
  </si>
  <si>
    <t>174-196</t>
  </si>
  <si>
    <t>120-150</t>
  </si>
  <si>
    <t>219-242</t>
  </si>
  <si>
    <t>243-267</t>
  </si>
  <si>
    <t>222-246</t>
  </si>
  <si>
    <t xml:space="preserve"> кабелей в траншее-1 шт.</t>
  </si>
  <si>
    <t xml:space="preserve">  сечением до 35 мм2 , количество</t>
  </si>
  <si>
    <t>Тех.часть п.3</t>
  </si>
  <si>
    <t>п.3.3</t>
  </si>
  <si>
    <t>1,036-Вблизи объектов, находящихся под высоким напряжением</t>
  </si>
  <si>
    <t>Пусконаладочные работы             0,5%</t>
  </si>
  <si>
    <t>Вид работ: технологическое присодинение энергопринимающих устройств к электрическим сетям.</t>
  </si>
  <si>
    <t>№
пп</t>
  </si>
  <si>
    <t>Наименование</t>
  </si>
  <si>
    <t>Ед. изм.</t>
  </si>
  <si>
    <t>Величина</t>
  </si>
  <si>
    <t>Основание</t>
  </si>
  <si>
    <t>руб./км</t>
  </si>
  <si>
    <t>-</t>
  </si>
  <si>
    <t>Стандартизированная тарифная ставка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</si>
  <si>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до 35 мм2</t>
  </si>
  <si>
    <t xml:space="preserve">на уровне напряжения 0,4 кВ </t>
  </si>
  <si>
    <t xml:space="preserve">               аллюминиевым проводом  сечением 50 мм2 </t>
  </si>
  <si>
    <t xml:space="preserve">  сечением 50 мм2 , количество</t>
  </si>
  <si>
    <t xml:space="preserve">               аллюминиевым проводом  сечением 70 мм2 </t>
  </si>
  <si>
    <t xml:space="preserve">  сечением 70 мм2 , количество</t>
  </si>
  <si>
    <t xml:space="preserve">               аллюминиевым проводом  сечением 95 мм2 </t>
  </si>
  <si>
    <t xml:space="preserve">  сечением 95 мм2 , количество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</si>
  <si>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95 мм2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</si>
  <si>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до 70 мм2</t>
  </si>
  <si>
    <t xml:space="preserve">               аллюминиевым проводом  сечением 120 мм2 </t>
  </si>
  <si>
    <t xml:space="preserve">  сечением 120 мм2 , количество</t>
  </si>
  <si>
    <t>(в ценах 2001 года)</t>
  </si>
  <si>
    <t>№
п/п</t>
  </si>
  <si>
    <t>Наименование стандартизированной ставки</t>
  </si>
  <si>
    <t>Размер стандартизированной тарифной ставки
(без НДС)</t>
  </si>
  <si>
    <t xml:space="preserve">Расходы на строительство кабельных линий электропередачи 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</si>
  <si>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50 мм2  с покрытием кирпичем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</si>
  <si>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50 мм2  </t>
  </si>
  <si>
    <t>аллюминиевым проводом  сечением до 35 мм2 с покрытием кирпичем</t>
  </si>
  <si>
    <r>
      <t>Тип используемого кабеля: ААБлУ, ААБ</t>
    </r>
    <r>
      <rPr>
        <vertAlign val="sub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лУ, ААШвУ, ААШпУ</t>
    </r>
  </si>
  <si>
    <t>50-95</t>
  </si>
  <si>
    <t>195,2-211,1</t>
  </si>
  <si>
    <t>290,0-325,9</t>
  </si>
  <si>
    <t>225,1-250,7</t>
  </si>
  <si>
    <t>334,0-410,3</t>
  </si>
  <si>
    <t>185-240</t>
  </si>
  <si>
    <t>265,4-336,1</t>
  </si>
  <si>
    <t>432,9-451,6</t>
  </si>
  <si>
    <t xml:space="preserve">                     Укрупненный расчет стоимости строительства КЛ 6 кВ </t>
  </si>
  <si>
    <t>КЛ  6 кВ марка (ААБлУ, ААБ2лУ, ААШвУ, ААШпУ)</t>
  </si>
  <si>
    <t xml:space="preserve">на уровне напряжения 6 кВ </t>
  </si>
  <si>
    <t>95-95</t>
  </si>
  <si>
    <t>120-195</t>
  </si>
  <si>
    <t>225,1-295,7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</si>
  <si>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95 мм2  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</si>
  <si>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120 мм2  </t>
  </si>
  <si>
    <t xml:space="preserve">  сечением 150 мм2 , количество</t>
  </si>
  <si>
    <t>150-150</t>
  </si>
  <si>
    <t>250,7-250,7</t>
  </si>
  <si>
    <t>410,3,0-410,3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</si>
  <si>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150 мм2  </t>
  </si>
  <si>
    <t xml:space="preserve">               аллюминиевым проводом  сечением 150 мм2 </t>
  </si>
  <si>
    <t>185 мм2 и более-185 мм2 и более</t>
  </si>
  <si>
    <t>265,4-265,4</t>
  </si>
  <si>
    <t>432,9,0-432,9</t>
  </si>
  <si>
    <t>(в ценах периода регулирования)</t>
  </si>
  <si>
    <t>Размер ставки,
руб./кВт (без НДС)</t>
  </si>
  <si>
    <t>1,022-в условиях городской и промышленной застройки</t>
  </si>
  <si>
    <t>700 м</t>
  </si>
  <si>
    <t xml:space="preserve">               аллюминиевым проводом  сечением 240 мм2 </t>
  </si>
  <si>
    <t xml:space="preserve">  сечением 240 мм2 , количество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</si>
  <si>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185 мм2 </t>
  </si>
  <si>
    <t xml:space="preserve">               аллюминиевым проводом  сечением 185 мм2 </t>
  </si>
  <si>
    <t xml:space="preserve">  сечением 185 мм2 , количество</t>
  </si>
  <si>
    <t>200 м</t>
  </si>
  <si>
    <t>100 м</t>
  </si>
  <si>
    <t>174*0,2*1,036</t>
  </si>
  <si>
    <t>174*0,7*1,036*1,022</t>
  </si>
  <si>
    <t>174*0,1*1,022</t>
  </si>
  <si>
    <t>ИТОГО по п.2-п.4:</t>
  </si>
  <si>
    <t>160*0,7*1,036*1,022</t>
  </si>
  <si>
    <t>160*0,2*1,036</t>
  </si>
  <si>
    <t>160*0,1*1,022</t>
  </si>
  <si>
    <t>191*0,7*1,036*1,022</t>
  </si>
  <si>
    <t>191*0,2*1,036</t>
  </si>
  <si>
    <t>191*0,1*1,022</t>
  </si>
  <si>
    <t>212*0,7*1,036*1,022</t>
  </si>
  <si>
    <t>212*0,2*1,036</t>
  </si>
  <si>
    <t>212*0,1*1,022</t>
  </si>
  <si>
    <t>243*0,7*1,036*1,022</t>
  </si>
  <si>
    <t>243*0,2*1,036</t>
  </si>
  <si>
    <t>243*0,1*1,022</t>
  </si>
  <si>
    <t>195,2*0,7*1,036*1,022</t>
  </si>
  <si>
    <t>195,2*0,2*1,036</t>
  </si>
  <si>
    <t>195,2*0,1*1,022</t>
  </si>
  <si>
    <t>ИТОГО по п.2-п.4:                                          100%</t>
  </si>
  <si>
    <t>211,1*0,7*1,036*1,022</t>
  </si>
  <si>
    <t>211,1*0,2*1,036</t>
  </si>
  <si>
    <t>211,1*0,1*1,022</t>
  </si>
  <si>
    <t>225,1*0,7*1,036*1,022</t>
  </si>
  <si>
    <t>225,1*0,2*1,036</t>
  </si>
  <si>
    <t>225,1*0,1*1,022</t>
  </si>
  <si>
    <t>250,7*0,7*1,036*1,022</t>
  </si>
  <si>
    <t>250,7*0,2*1,036</t>
  </si>
  <si>
    <t>250,7*0,1*1,022</t>
  </si>
  <si>
    <t>265,4*0,7*1,036*1,022</t>
  </si>
  <si>
    <t>265,4*0,2*1,036</t>
  </si>
  <si>
    <t>265,4*0,1*1,022</t>
  </si>
  <si>
    <t>336,1*0,7*1,036*1,022</t>
  </si>
  <si>
    <t>336,1*0,2*1,036</t>
  </si>
  <si>
    <t>336,1*0,1*1,022</t>
  </si>
  <si>
    <t>С3 - стандартизированная тарифная ставка на покрытие расходов сетевой организации на строительство кабельных линий электропередачи в расчете на 1 км линий, на уровне напряжения ниже 35 кВ и мощности менее 8900 кВт, руб./км</t>
  </si>
  <si>
    <t>Ставка за единицу максимальной мощности на покрытие расходов сетевой организации на строительство кабельных линий электропередачи на уровне напряжения ниже 35 кВ и мощности менее 8900 кВт</t>
  </si>
  <si>
    <t>Главный энергетик-начальник энергохозяйства                                                     С. А. Шаповалов</t>
  </si>
  <si>
    <t>Ковалева А. А. 28-77-21</t>
  </si>
  <si>
    <t>Расчет % составляющих стоимости строительства (без ПИР)</t>
  </si>
  <si>
    <t>вид затрат</t>
  </si>
  <si>
    <t>% 
согласно приложению №5 к УПС МРСК</t>
  </si>
  <si>
    <t>% без ПИР</t>
  </si>
  <si>
    <t>строительно-монтажные</t>
  </si>
  <si>
    <t>оборудование</t>
  </si>
  <si>
    <t>ПНР</t>
  </si>
  <si>
    <t>Прочие</t>
  </si>
  <si>
    <t>ПИР</t>
  </si>
  <si>
    <t>Итого</t>
  </si>
  <si>
    <t>Строительно-монтажные              88,7 %</t>
  </si>
  <si>
    <t>Прочие затраты                             10,8 %</t>
  </si>
  <si>
    <t xml:space="preserve">  сечением120 мм2  , количество</t>
  </si>
  <si>
    <t xml:space="preserve">  сечением 150 мм2 и более, количество</t>
  </si>
  <si>
    <t xml:space="preserve">               аллюминиевым проводом  сечением 150 мм2 и более</t>
  </si>
  <si>
    <t xml:space="preserve">  сечением150 мм2 и более , количество</t>
  </si>
  <si>
    <t xml:space="preserve">  сечением 150 мм2 и более , количество</t>
  </si>
  <si>
    <t>267*0,7*1,036*1,022</t>
  </si>
  <si>
    <t>267*0,2*1,036</t>
  </si>
  <si>
    <t>267*0,1*1,022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</si>
  <si>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150 мм2 и более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</si>
  <si>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120 мм2 </t>
  </si>
  <si>
    <t>Приложение 3</t>
  </si>
  <si>
    <t>3 кв 2016г.</t>
  </si>
  <si>
    <t>* Индекс пересчёта III квартал 2016г.( Письмо Минстрой России Письмо № 31523-ХМ/09 от 27.09.2016)</t>
  </si>
  <si>
    <t>Итог сводного сметного расчета (без НДС в ценах 3 квартала 2016 года)</t>
  </si>
  <si>
    <t>Индекс на 2 квартал 2016 года к ФЕР-2001</t>
  </si>
  <si>
    <t>Минстрой России Письмо № 17269-ХМ/09 от 03.06.2016 г.
(Мурманская область;подземная прокладка кабеля с алюминиевыми жилами)</t>
  </si>
  <si>
    <t>Тип используемого кабеля: АСБ</t>
  </si>
  <si>
    <t>288,1-363,1</t>
  </si>
  <si>
    <t>423,4-535,9</t>
  </si>
  <si>
    <t>427,4-474,2</t>
  </si>
  <si>
    <t>619,7-788,5</t>
  </si>
  <si>
    <t>522,4-663,3</t>
  </si>
  <si>
    <t>852,6-1108,5</t>
  </si>
  <si>
    <t>КЛ  6 кВ марка (АСБ)</t>
  </si>
  <si>
    <t>288,1*0,7*1,036*1,022</t>
  </si>
  <si>
    <t>288,1*0,2*1,036</t>
  </si>
  <si>
    <t>288,1*0,1*1,022</t>
  </si>
  <si>
    <t>363,1*0,7*1,036*1,022</t>
  </si>
  <si>
    <t>363,1*0,2*1,036</t>
  </si>
  <si>
    <t>363,1*0,1*1,022</t>
  </si>
  <si>
    <t>427,4*0,7*1,036*1,022</t>
  </si>
  <si>
    <t>427,4*0,2*1,036</t>
  </si>
  <si>
    <t>427,4*0,1*1,022</t>
  </si>
  <si>
    <t>474,2*0,7*1,036*1,022</t>
  </si>
  <si>
    <t>474,2*0,2*1,036</t>
  </si>
  <si>
    <t>474,2*0,1*1,022</t>
  </si>
  <si>
    <t>522,4*0,7*1,036*1,022</t>
  </si>
  <si>
    <t>522,4*0,2*1,036</t>
  </si>
  <si>
    <t>522,4*0,1*1,022</t>
  </si>
  <si>
    <t>663,3*0,7*1,036*1,022</t>
  </si>
  <si>
    <t>663,3*0,2*1,036</t>
  </si>
  <si>
    <t>663,3*0,1*1,022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</si>
  <si>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50 мм2 (АСБ) 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</si>
  <si>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95 мм2  (АСБ)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</si>
  <si>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120 мм2 (АСБ)  </t>
  </si>
  <si>
    <t xml:space="preserve">Расчет стандартизированной тарифной ставки
на покрытие расходов сетевой организации на строительство
кабельных линий электропередачи сечением 150 мм2 (АСБ) 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</si>
  <si>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185 мм2 (АСБ)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</si>
  <si>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240 мм2</t>
  </si>
  <si>
    <t>Расчет стандартизированной тарифной ставки
на покрытие расходов сетевой организации на строительство
кабельных линий электропередачи сечением 240 мм2 (АСБ)</t>
  </si>
  <si>
    <t>до 150 кВт
 (с 01.10.2017)</t>
  </si>
  <si>
    <t>от 0 до 8900 кВт (по 30.09.2017)
свыше 150 кВт (с 01.10.2017)</t>
  </si>
  <si>
    <t>Стандартизированные тарифные ставки на осуществление мероприятий «последней мили» по технологическому присоединению энергопринимающих устройств Заявителей к электрическим сетям на 2017 год</t>
  </si>
  <si>
    <t>на уровне напряжения 6(10) кВ сечением жил до 50 мм2 
кабелем марки: ААБлУ, ААБ2лУ, ААШвУ, ААШпУ</t>
  </si>
  <si>
    <t>на уровне напряжения 6(10) кВ  сечением жил 95 мм2
 кабелем марки: ААБлУ, ААБ2лУ, ААШвУ, ААШпУ</t>
  </si>
  <si>
    <t>на уровне напряжения 6(10) кВсечением жил 120 мм2 
кабелем марки: ААБлУ, ААБ2лУ, ААШвУ, ААШпУ</t>
  </si>
  <si>
    <t xml:space="preserve">на уровне напряжения 6(10) кВ сечением жил 150 мм2
кабелем марки: ААБлУ, ААБ2лУ, ААШвУ, ААШпУ </t>
  </si>
  <si>
    <t>на уровне напряжения 6(10) кВ сечение жил 185 мм2
кабелем марки: ААБлУ, ААБ2лУ, ААШвУ, ААШпУ</t>
  </si>
  <si>
    <t>на уровне напряжения 6(10) кВ сечение жил 240 мм2
кабелем марки: ААБлУ, ААБ2лУ, ААШвУ, ААШпУ</t>
  </si>
  <si>
    <t>на уровне напряжения 6(10) кВ сечением жил до 50 мм2 
кабелем марки: АСБ</t>
  </si>
  <si>
    <t>на уровне напряжения 6(10) кВ  сечением жил 95 мм2
 кабелем марки: АСБ</t>
  </si>
  <si>
    <t>на уровне напряжения 6(10) кВ сечением жил 150 мм2
кабелем марки: АСБ</t>
  </si>
  <si>
    <t>на уровне напряжения 6(10) кВ сечение жил 185 мм2
кабелем марки: АСБ</t>
  </si>
  <si>
    <t>на уровне напряжения 6(10) кВ сечение жил 240 мм2
кабелем марки: АСБ</t>
  </si>
  <si>
    <t>Ставки за единицу максимальной мощности на осуществление мероприятий «последней мили» по технологическому присоединению энергопринимающих устройств Заявителей к электрическим сетям на 2017 год</t>
  </si>
  <si>
    <t>Пусконаладочные работы</t>
  </si>
  <si>
    <t>ГСН 81-05-02-2007 табл. 4, п.2.4</t>
  </si>
  <si>
    <t>Главный энергетик-начальник  энергохозяйства                                         С. А. Шаповалов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</si>
  <si>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</si>
  <si>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</si>
  <si>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</si>
  <si>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</si>
  <si>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</si>
  <si>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</si>
  <si>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</si>
  <si>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</si>
  <si>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</si>
  <si>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</si>
  <si>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</si>
  <si>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</si>
  <si>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</si>
  <si>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</si>
  <si>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</si>
  <si>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</si>
  <si>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</si>
  <si>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</si>
  <si>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на уровне напряжения 6(10) кВ сечением жил 120 мм2 
кабелем марки: АСБ</t>
  </si>
  <si>
    <t xml:space="preserve">на уровне напряжения 0,4 кВ с алюминиевой токопроводящей жилой до 35 мм2 с покрытием кирпичом в траншее </t>
  </si>
  <si>
    <t xml:space="preserve">на уровне напряжения 0,4 кВ с алюминиевой токопроводящей жилой 50 мм2 с покрытием кирпичом в траншее </t>
  </si>
  <si>
    <t xml:space="preserve">на уровне напряжения 0,4 кВ с алюминиевой токопроводящей жилой 70 мм2 с покрытием кирпичом в траншее </t>
  </si>
  <si>
    <t xml:space="preserve">на уровне напряжения 0,4 кВ с алюминиевой токопроводящей жилой 90 мм2 с покрытием кирпичом в траншее </t>
  </si>
  <si>
    <t xml:space="preserve">на уровне напряжения 0,4 кВ с алюминиевой токопроводящей жилой 120 мм2  с покрытием кирпичом в траншее </t>
  </si>
  <si>
    <t xml:space="preserve">на уровне напряжения 0,4 кВ с алюминиевой токопроводящей жилой 150 мм2 и более с покрытием кирпичом в траншее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</si>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</sst>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_(&quot;$&quot;* #,##0_);_(&quot;$&quot;* \(#,##0\);_(&quot;$&quot;* &quot;-&quot;_);_(@_)"/>
    <numFmt numFmtId="169" formatCode="0.000"/>
    <numFmt numFmtId="170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7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8">
    <xf numFmtId="0" fontId="0" fillId="0" borderId="0"/>
    <xf numFmtId="0" fontId="6" fillId="0" borderId="0">
      <alignment horizontal="left" vertical="top"/>
    </xf>
    <xf numFmtId="0" fontId="7" fillId="0" borderId="0">
      <alignment horizontal="right" vertical="top"/>
    </xf>
    <xf numFmtId="0" fontId="8" fillId="0" borderId="0">
      <alignment horizontal="center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/>
    </xf>
    <xf numFmtId="0" fontId="9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10" fillId="0" borderId="0">
      <alignment horizontal="right" vertical="center"/>
    </xf>
    <xf numFmtId="0" fontId="9" fillId="0" borderId="0">
      <alignment horizontal="right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top"/>
    </xf>
    <xf numFmtId="0" fontId="6" fillId="0" borderId="1">
      <alignment horizontal="center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6" fillId="0" borderId="2">
      <alignment horizontal="center" vertical="center"/>
    </xf>
    <xf numFmtId="0" fontId="6" fillId="0" borderId="1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11" fillId="0" borderId="0">
      <alignment horizontal="left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1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1">
      <alignment horizontal="center" vertical="center"/>
    </xf>
    <xf numFmtId="0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1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2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11" fillId="0" borderId="0">
      <alignment horizontal="left" vertical="center"/>
    </xf>
    <xf numFmtId="0" fontId="6" fillId="0" borderId="2">
      <alignment horizontal="center" vertical="center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2">
      <alignment horizontal="center" vertical="center"/>
    </xf>
    <xf numFmtId="0" fontId="6" fillId="0" borderId="0">
      <alignment horizontal="left" vertical="top"/>
    </xf>
    <xf numFmtId="0" fontId="6" fillId="0" borderId="2">
      <alignment horizontal="left" vertical="top"/>
    </xf>
    <xf numFmtId="0" fontId="6" fillId="0" borderId="2">
      <alignment horizontal="center" vertical="center"/>
    </xf>
    <xf numFmtId="0" fontId="6" fillId="0" borderId="0">
      <alignment horizontal="left" vertical="top"/>
    </xf>
    <xf numFmtId="0" fontId="6" fillId="0" borderId="2">
      <alignment horizontal="left" vertical="top"/>
    </xf>
    <xf numFmtId="0" fontId="6" fillId="0" borderId="3">
      <alignment horizontal="center" vertical="center"/>
    </xf>
    <xf numFmtId="0" fontId="6" fillId="0" borderId="0">
      <alignment horizontal="right" vertical="top"/>
    </xf>
    <xf numFmtId="0" fontId="6" fillId="0" borderId="2">
      <alignment horizontal="left" vertical="top"/>
    </xf>
    <xf numFmtId="0" fontId="6" fillId="0" borderId="0">
      <alignment horizontal="left" vertical="top"/>
    </xf>
    <xf numFmtId="0" fontId="10" fillId="0" borderId="4">
      <alignment horizontal="center" vertical="center"/>
    </xf>
    <xf numFmtId="0" fontId="6" fillId="0" borderId="2">
      <alignment horizontal="right" vertical="top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2">
      <alignment horizontal="right" vertical="top"/>
    </xf>
    <xf numFmtId="0" fontId="6" fillId="0" borderId="0">
      <alignment horizontal="left" vertical="top"/>
    </xf>
    <xf numFmtId="0" fontId="10" fillId="0" borderId="5">
      <alignment horizontal="left" vertical="top"/>
    </xf>
    <xf numFmtId="0" fontId="6" fillId="0" borderId="2">
      <alignment horizontal="right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10" fillId="0" borderId="5">
      <alignment horizontal="left" vertical="top"/>
    </xf>
    <xf numFmtId="0" fontId="6" fillId="0" borderId="0">
      <alignment horizontal="right" vertical="top"/>
    </xf>
    <xf numFmtId="0" fontId="10" fillId="0" borderId="5">
      <alignment horizontal="right" vertical="top"/>
    </xf>
    <xf numFmtId="0" fontId="10" fillId="0" borderId="5">
      <alignment horizontal="right" vertical="top"/>
    </xf>
    <xf numFmtId="0" fontId="6" fillId="0" borderId="0">
      <alignment horizontal="right" vertical="top"/>
    </xf>
    <xf numFmtId="0" fontId="10" fillId="0" borderId="5">
      <alignment horizontal="right" vertical="top"/>
    </xf>
    <xf numFmtId="0" fontId="10" fillId="0" borderId="5">
      <alignment horizontal="right" vertical="top"/>
    </xf>
    <xf numFmtId="0" fontId="11" fillId="0" borderId="0">
      <alignment horizontal="left" vertical="center"/>
    </xf>
    <xf numFmtId="0" fontId="6" fillId="0" borderId="0">
      <alignment horizontal="right" vertical="top"/>
    </xf>
    <xf numFmtId="0" fontId="10" fillId="0" borderId="0">
      <alignment horizontal="right" vertical="top"/>
    </xf>
    <xf numFmtId="0" fontId="10" fillId="0" borderId="5">
      <alignment horizontal="right" vertical="top"/>
    </xf>
    <xf numFmtId="0" fontId="11" fillId="0" borderId="0">
      <alignment horizontal="left" vertical="top"/>
    </xf>
    <xf numFmtId="0" fontId="6" fillId="0" borderId="0">
      <alignment horizontal="right" vertical="top"/>
    </xf>
    <xf numFmtId="0" fontId="10" fillId="0" borderId="0">
      <alignment horizontal="right" vertical="top"/>
    </xf>
    <xf numFmtId="0" fontId="11" fillId="0" borderId="0">
      <alignment horizontal="left" vertical="top"/>
    </xf>
    <xf numFmtId="0" fontId="10" fillId="0" borderId="5">
      <alignment horizontal="left" vertical="top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10" fillId="0" borderId="5">
      <alignment horizontal="right" vertical="top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10" fillId="0" borderId="5">
      <alignment horizontal="right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0" fillId="0" borderId="5">
      <alignment horizontal="right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11" fillId="0" borderId="0">
      <alignment horizontal="right" vertical="top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9" fillId="0" borderId="0">
      <alignment horizontal="right" vertical="center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11" fillId="0" borderId="0">
      <alignment horizontal="left"/>
    </xf>
    <xf numFmtId="0" fontId="10" fillId="0" borderId="0">
      <alignment horizontal="right" vertical="top"/>
    </xf>
    <xf numFmtId="0" fontId="11" fillId="0" borderId="0">
      <alignment horizontal="right" vertical="top"/>
    </xf>
    <xf numFmtId="0" fontId="5" fillId="0" borderId="4">
      <alignment horizontal="left" vertical="top"/>
    </xf>
    <xf numFmtId="0" fontId="11" fillId="0" borderId="0">
      <alignment horizontal="left"/>
    </xf>
    <xf numFmtId="0" fontId="11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center"/>
    </xf>
    <xf numFmtId="0" fontId="10" fillId="0" borderId="0">
      <alignment horizontal="right" vertical="top"/>
    </xf>
    <xf numFmtId="0" fontId="11" fillId="0" borderId="4">
      <alignment horizontal="left" vertical="center"/>
    </xf>
    <xf numFmtId="0" fontId="11" fillId="0" borderId="0">
      <alignment horizontal="right" vertical="top"/>
    </xf>
    <xf numFmtId="0" fontId="11" fillId="0" borderId="0">
      <alignment horizontal="right" vertical="center"/>
    </xf>
    <xf numFmtId="0" fontId="9" fillId="0" borderId="0">
      <alignment horizontal="right" vertical="top"/>
    </xf>
    <xf numFmtId="0" fontId="11" fillId="0" borderId="0">
      <alignment horizontal="right" vertical="top"/>
    </xf>
    <xf numFmtId="0" fontId="11" fillId="0" borderId="0">
      <alignment horizontal="left" vertical="center"/>
    </xf>
    <xf numFmtId="0" fontId="9" fillId="0" borderId="0">
      <alignment horizontal="right" vertical="center"/>
    </xf>
    <xf numFmtId="0" fontId="11" fillId="0" borderId="0">
      <alignment horizontal="right" vertical="top"/>
    </xf>
    <xf numFmtId="0" fontId="11" fillId="0" borderId="0">
      <alignment horizontal="left" vertical="center"/>
    </xf>
    <xf numFmtId="0" fontId="11" fillId="0" borderId="0">
      <alignment horizontal="right" vertical="top"/>
    </xf>
    <xf numFmtId="0" fontId="10" fillId="0" borderId="4">
      <alignment horizontal="center" vertical="center"/>
    </xf>
    <xf numFmtId="0" fontId="11" fillId="0" borderId="0">
      <alignment horizontal="right" vertical="top"/>
    </xf>
    <xf numFmtId="0" fontId="11" fillId="0" borderId="4">
      <alignment horizontal="left" vertical="center"/>
    </xf>
    <xf numFmtId="0" fontId="10" fillId="0" borderId="5">
      <alignment horizontal="left" vertical="top"/>
    </xf>
    <xf numFmtId="0" fontId="10" fillId="0" borderId="4">
      <alignment horizontal="center" vertical="center"/>
    </xf>
    <xf numFmtId="0" fontId="11" fillId="0" borderId="0">
      <alignment horizontal="left" vertical="center"/>
    </xf>
    <xf numFmtId="0" fontId="11" fillId="0" borderId="0">
      <alignment horizontal="left" vertical="top"/>
    </xf>
    <xf numFmtId="0" fontId="10" fillId="0" borderId="5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>
      <alignment horizontal="right" vertical="center"/>
    </xf>
    <xf numFmtId="0" fontId="11" fillId="0" borderId="4">
      <alignment horizontal="left" vertical="center"/>
    </xf>
    <xf numFmtId="0" fontId="9" fillId="0" borderId="0">
      <alignment horizontal="left" vertical="center"/>
    </xf>
    <xf numFmtId="0" fontId="10" fillId="0" borderId="4">
      <alignment horizontal="center" vertical="center"/>
    </xf>
    <xf numFmtId="0" fontId="11" fillId="0" borderId="0">
      <alignment horizontal="left"/>
    </xf>
    <xf numFmtId="0" fontId="10" fillId="0" borderId="5">
      <alignment horizontal="left" vertical="top"/>
    </xf>
    <xf numFmtId="0" fontId="11" fillId="0" borderId="0">
      <alignment horizontal="left"/>
    </xf>
    <xf numFmtId="0" fontId="11" fillId="0" borderId="0">
      <alignment horizontal="left" vertical="top"/>
    </xf>
    <xf numFmtId="0" fontId="9" fillId="0" borderId="0">
      <alignment horizontal="right" vertical="center"/>
    </xf>
    <xf numFmtId="0" fontId="11" fillId="0" borderId="0">
      <alignment horizontal="left" vertical="top"/>
    </xf>
    <xf numFmtId="0" fontId="11" fillId="0" borderId="0">
      <alignment horizontal="left"/>
    </xf>
    <xf numFmtId="0" fontId="11" fillId="0" borderId="4">
      <alignment horizontal="left" vertical="center"/>
    </xf>
    <xf numFmtId="0" fontId="11" fillId="0" borderId="0">
      <alignment horizontal="left" vertical="top"/>
    </xf>
    <xf numFmtId="0" fontId="11" fillId="0" borderId="0">
      <alignment horizontal="left"/>
    </xf>
    <xf numFmtId="0" fontId="9" fillId="0" borderId="0">
      <alignment horizontal="right" vertical="center"/>
    </xf>
    <xf numFmtId="0" fontId="11" fillId="0" borderId="0">
      <alignment horizontal="left" vertical="top"/>
    </xf>
    <xf numFmtId="0" fontId="11" fillId="0" borderId="0">
      <alignment horizontal="left"/>
    </xf>
    <xf numFmtId="0" fontId="11" fillId="0" borderId="4">
      <alignment horizontal="left" vertical="center"/>
    </xf>
    <xf numFmtId="0" fontId="11" fillId="0" borderId="0">
      <alignment horizontal="left"/>
    </xf>
    <xf numFmtId="0" fontId="9" fillId="0" borderId="0">
      <alignment horizontal="right" vertical="top"/>
    </xf>
    <xf numFmtId="0" fontId="11" fillId="0" borderId="0">
      <alignment horizontal="left" vertical="top"/>
    </xf>
    <xf numFmtId="0" fontId="9" fillId="0" borderId="0">
      <alignment horizontal="right" vertical="center"/>
    </xf>
    <xf numFmtId="0" fontId="11" fillId="0" borderId="4">
      <alignment horizontal="left" vertical="center"/>
    </xf>
    <xf numFmtId="0" fontId="9" fillId="0" borderId="0">
      <alignment horizontal="left" vertical="center"/>
    </xf>
    <xf numFmtId="0" fontId="9" fillId="0" borderId="0">
      <alignment horizontal="right" vertical="top"/>
    </xf>
    <xf numFmtId="0" fontId="9" fillId="0" borderId="0">
      <alignment horizontal="right" vertical="center"/>
    </xf>
    <xf numFmtId="0" fontId="9" fillId="0" borderId="0">
      <alignment horizontal="left" vertical="top"/>
    </xf>
    <xf numFmtId="0" fontId="12" fillId="0" borderId="2">
      <alignment horizontal="center"/>
    </xf>
    <xf numFmtId="0" fontId="12" fillId="0" borderId="2">
      <alignment horizontal="center"/>
    </xf>
    <xf numFmtId="44" fontId="13" fillId="0" borderId="0" applyFont="0" applyFill="0" applyBorder="0" applyAlignment="0" applyProtection="0"/>
    <xf numFmtId="0" fontId="12" fillId="0" borderId="0">
      <alignment horizontal="right" vertical="top" wrapText="1"/>
    </xf>
    <xf numFmtId="0" fontId="12" fillId="0" borderId="2">
      <alignment horizontal="center" wrapText="1"/>
    </xf>
    <xf numFmtId="0" fontId="12" fillId="0" borderId="2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2">
      <alignment horizontal="center"/>
    </xf>
    <xf numFmtId="0" fontId="12" fillId="0" borderId="2">
      <alignment horizontal="center" wrapText="1"/>
    </xf>
    <xf numFmtId="0" fontId="12" fillId="0" borderId="2">
      <alignment horizontal="center"/>
    </xf>
    <xf numFmtId="0" fontId="12" fillId="0" borderId="0">
      <alignment horizontal="center" vertical="top" wrapText="1"/>
    </xf>
    <xf numFmtId="0" fontId="12" fillId="0" borderId="0">
      <alignment horizontal="center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>
      <alignment horizontal="left" vertical="top"/>
    </xf>
    <xf numFmtId="0" fontId="12" fillId="0" borderId="0"/>
  </cellStyleXfs>
  <cellXfs count="238">
    <xf numFmtId="0" fontId="0" fillId="0" borderId="0" xfId="0"/>
    <xf numFmtId="0" fontId="3" fillId="0" borderId="0" xfId="204" applyFont="1" applyFill="1"/>
    <xf numFmtId="0" fontId="17" fillId="0" borderId="0" xfId="204" applyFont="1" applyFill="1" applyAlignment="1">
      <alignment vertical="center" wrapText="1"/>
    </xf>
    <xf numFmtId="0" fontId="4" fillId="0" borderId="6" xfId="204" applyFont="1" applyFill="1" applyBorder="1"/>
    <xf numFmtId="0" fontId="4" fillId="0" borderId="7" xfId="204" applyFont="1" applyFill="1" applyBorder="1" applyAlignment="1">
      <alignment horizontal="center"/>
    </xf>
    <xf numFmtId="0" fontId="4" fillId="0" borderId="5" xfId="204" applyFont="1" applyFill="1" applyBorder="1"/>
    <xf numFmtId="0" fontId="4" fillId="0" borderId="8" xfId="204" applyFont="1" applyFill="1" applyBorder="1"/>
    <xf numFmtId="0" fontId="4" fillId="0" borderId="8" xfId="204" applyFont="1" applyFill="1" applyBorder="1" applyAlignment="1">
      <alignment horizontal="center"/>
    </xf>
    <xf numFmtId="0" fontId="4" fillId="0" borderId="0" xfId="204" applyFont="1" applyFill="1"/>
    <xf numFmtId="0" fontId="4" fillId="0" borderId="9" xfId="204" applyFont="1" applyFill="1" applyBorder="1"/>
    <xf numFmtId="0" fontId="4" fillId="0" borderId="10" xfId="204" applyFont="1" applyFill="1" applyBorder="1" applyAlignment="1">
      <alignment horizontal="center"/>
    </xf>
    <xf numFmtId="0" fontId="4" fillId="0" borderId="0" xfId="204" applyFont="1" applyFill="1" applyBorder="1"/>
    <xf numFmtId="0" fontId="4" fillId="0" borderId="11" xfId="204" applyFont="1" applyFill="1" applyBorder="1"/>
    <xf numFmtId="0" fontId="4" fillId="0" borderId="11" xfId="204" applyFont="1" applyFill="1" applyBorder="1" applyAlignment="1">
      <alignment horizontal="center"/>
    </xf>
    <xf numFmtId="0" fontId="4" fillId="0" borderId="12" xfId="204" applyFont="1" applyFill="1" applyBorder="1"/>
    <xf numFmtId="0" fontId="4" fillId="0" borderId="13" xfId="204" applyFont="1" applyFill="1" applyBorder="1"/>
    <xf numFmtId="0" fontId="4" fillId="0" borderId="4" xfId="204" applyFont="1" applyFill="1" applyBorder="1"/>
    <xf numFmtId="0" fontId="4" fillId="0" borderId="14" xfId="204" applyFont="1" applyFill="1" applyBorder="1"/>
    <xf numFmtId="0" fontId="4" fillId="0" borderId="14" xfId="204" applyFont="1" applyFill="1" applyBorder="1" applyAlignment="1">
      <alignment horizontal="center"/>
    </xf>
    <xf numFmtId="0" fontId="4" fillId="0" borderId="7" xfId="204" applyFont="1" applyFill="1" applyBorder="1"/>
    <xf numFmtId="0" fontId="4" fillId="0" borderId="10" xfId="204" applyFont="1" applyFill="1" applyBorder="1"/>
    <xf numFmtId="2" fontId="4" fillId="0" borderId="10" xfId="204" applyNumberFormat="1" applyFont="1" applyFill="1" applyBorder="1" applyAlignment="1">
      <alignment horizontal="center"/>
    </xf>
    <xf numFmtId="2" fontId="4" fillId="0" borderId="13" xfId="204" applyNumberFormat="1" applyFont="1" applyFill="1" applyBorder="1" applyAlignment="1">
      <alignment horizontal="center"/>
    </xf>
    <xf numFmtId="2" fontId="4" fillId="0" borderId="7" xfId="204" applyNumberFormat="1" applyFont="1" applyFill="1" applyBorder="1" applyAlignment="1">
      <alignment horizontal="center"/>
    </xf>
    <xf numFmtId="169" fontId="4" fillId="0" borderId="8" xfId="204" applyNumberFormat="1" applyFont="1" applyFill="1" applyBorder="1" applyAlignment="1">
      <alignment horizontal="center"/>
    </xf>
    <xf numFmtId="170" fontId="4" fillId="0" borderId="8" xfId="204" applyNumberFormat="1" applyFont="1" applyFill="1" applyBorder="1"/>
    <xf numFmtId="169" fontId="4" fillId="0" borderId="9" xfId="204" applyNumberFormat="1" applyFont="1" applyFill="1" applyBorder="1"/>
    <xf numFmtId="170" fontId="4" fillId="0" borderId="11" xfId="204" applyNumberFormat="1" applyFont="1" applyFill="1" applyBorder="1"/>
    <xf numFmtId="10" fontId="4" fillId="0" borderId="11" xfId="204" applyNumberFormat="1" applyFont="1" applyFill="1" applyBorder="1"/>
    <xf numFmtId="2" fontId="4" fillId="0" borderId="10" xfId="204" applyNumberFormat="1" applyFont="1" applyFill="1" applyBorder="1"/>
    <xf numFmtId="9" fontId="4" fillId="0" borderId="11" xfId="204" applyNumberFormat="1" applyFont="1" applyFill="1" applyBorder="1"/>
    <xf numFmtId="0" fontId="4" fillId="0" borderId="3" xfId="204" applyFont="1" applyFill="1" applyBorder="1"/>
    <xf numFmtId="0" fontId="4" fillId="0" borderId="2" xfId="204" applyFont="1" applyFill="1" applyBorder="1"/>
    <xf numFmtId="0" fontId="4" fillId="0" borderId="1" xfId="204" applyFont="1" applyFill="1" applyBorder="1"/>
    <xf numFmtId="169" fontId="4" fillId="0" borderId="2" xfId="204" applyNumberFormat="1" applyFont="1" applyFill="1" applyBorder="1"/>
    <xf numFmtId="169" fontId="4" fillId="0" borderId="0" xfId="204" applyNumberFormat="1" applyFont="1" applyFill="1" applyBorder="1"/>
    <xf numFmtId="169" fontId="4" fillId="0" borderId="10" xfId="204" applyNumberFormat="1" applyFont="1" applyFill="1" applyBorder="1"/>
    <xf numFmtId="169" fontId="4" fillId="0" borderId="10" xfId="204" applyNumberFormat="1" applyFont="1" applyFill="1" applyBorder="1" applyAlignment="1">
      <alignment horizontal="center"/>
    </xf>
    <xf numFmtId="0" fontId="4" fillId="0" borderId="0" xfId="204" applyFont="1" applyFill="1" applyBorder="1" applyAlignment="1">
      <alignment horizontal="center"/>
    </xf>
    <xf numFmtId="169" fontId="4" fillId="0" borderId="11" xfId="204" applyNumberFormat="1" applyFont="1" applyFill="1" applyBorder="1"/>
    <xf numFmtId="0" fontId="21" fillId="0" borderId="6" xfId="204" applyFont="1" applyFill="1" applyBorder="1"/>
    <xf numFmtId="169" fontId="21" fillId="0" borderId="7" xfId="204" applyNumberFormat="1" applyFont="1" applyFill="1" applyBorder="1" applyAlignment="1">
      <alignment horizontal="center"/>
    </xf>
    <xf numFmtId="0" fontId="21" fillId="0" borderId="5" xfId="204" applyFont="1" applyFill="1" applyBorder="1"/>
    <xf numFmtId="169" fontId="21" fillId="0" borderId="7" xfId="204" applyNumberFormat="1" applyFont="1" applyFill="1" applyBorder="1"/>
    <xf numFmtId="169" fontId="21" fillId="0" borderId="8" xfId="204" applyNumberFormat="1" applyFont="1" applyFill="1" applyBorder="1"/>
    <xf numFmtId="0" fontId="21" fillId="0" borderId="12" xfId="204" applyFont="1" applyFill="1" applyBorder="1"/>
    <xf numFmtId="0" fontId="21" fillId="0" borderId="13" xfId="204" applyFont="1" applyFill="1" applyBorder="1"/>
    <xf numFmtId="0" fontId="21" fillId="0" borderId="4" xfId="204" applyFont="1" applyFill="1" applyBorder="1"/>
    <xf numFmtId="169" fontId="21" fillId="0" borderId="14" xfId="204" applyNumberFormat="1" applyFont="1" applyFill="1" applyBorder="1"/>
    <xf numFmtId="0" fontId="22" fillId="0" borderId="0" xfId="0" applyFont="1"/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/>
    <xf numFmtId="0" fontId="0" fillId="0" borderId="13" xfId="0" applyBorder="1"/>
    <xf numFmtId="0" fontId="4" fillId="0" borderId="10" xfId="204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22" fillId="0" borderId="0" xfId="0" applyFont="1" applyBorder="1" applyAlignment="1">
      <alignment horizontal="center" vertical="center" wrapText="1"/>
    </xf>
    <xf numFmtId="0" fontId="21" fillId="0" borderId="14" xfId="204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170" fontId="4" fillId="0" borderId="6" xfId="0" applyNumberFormat="1" applyFont="1" applyBorder="1" applyAlignment="1">
      <alignment horizontal="right" vertical="center"/>
    </xf>
    <xf numFmtId="170" fontId="4" fillId="0" borderId="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170" fontId="4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170" fontId="4" fillId="0" borderId="12" xfId="0" applyNumberFormat="1" applyFont="1" applyBorder="1" applyAlignment="1">
      <alignment horizontal="right" vertical="center"/>
    </xf>
    <xf numFmtId="0" fontId="21" fillId="0" borderId="13" xfId="0" applyFont="1" applyBorder="1"/>
    <xf numFmtId="170" fontId="4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3" fontId="25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wrapText="1"/>
    </xf>
    <xf numFmtId="0" fontId="25" fillId="0" borderId="2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10" xfId="0" applyBorder="1"/>
    <xf numFmtId="0" fontId="30" fillId="0" borderId="0" xfId="0" applyFont="1" applyBorder="1"/>
    <xf numFmtId="0" fontId="32" fillId="0" borderId="0" xfId="0" applyFont="1" applyBorder="1"/>
    <xf numFmtId="0" fontId="34" fillId="0" borderId="0" xfId="0" applyFont="1" applyBorder="1"/>
    <xf numFmtId="0" fontId="35" fillId="0" borderId="0" xfId="0" applyFont="1"/>
    <xf numFmtId="2" fontId="32" fillId="0" borderId="0" xfId="0" applyNumberFormat="1" applyFont="1" applyBorder="1" applyAlignment="1">
      <alignment horizontal="right"/>
    </xf>
    <xf numFmtId="0" fontId="33" fillId="0" borderId="0" xfId="0" applyFont="1" applyBorder="1"/>
    <xf numFmtId="2" fontId="31" fillId="0" borderId="0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/>
    <xf numFmtId="0" fontId="32" fillId="0" borderId="0" xfId="0" applyFont="1" applyBorder="1" applyAlignment="1">
      <alignment wrapText="1" shrinkToFit="1"/>
    </xf>
    <xf numFmtId="2" fontId="32" fillId="0" borderId="0" xfId="0" applyNumberFormat="1" applyFont="1" applyBorder="1" applyAlignment="1">
      <alignment horizontal="center"/>
    </xf>
    <xf numFmtId="0" fontId="36" fillId="0" borderId="13" xfId="0" applyFont="1" applyBorder="1"/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0" xfId="204" applyFont="1" applyFill="1" applyBorder="1"/>
    <xf numFmtId="4" fontId="0" fillId="0" borderId="0" xfId="0" applyNumberFormat="1"/>
    <xf numFmtId="4" fontId="0" fillId="0" borderId="0" xfId="0" applyNumberFormat="1" applyBorder="1"/>
    <xf numFmtId="2" fontId="0" fillId="0" borderId="0" xfId="0" applyNumberFormat="1"/>
    <xf numFmtId="0" fontId="20" fillId="0" borderId="0" xfId="0" applyFont="1"/>
    <xf numFmtId="0" fontId="26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17" xfId="0" applyFont="1" applyBorder="1"/>
    <xf numFmtId="0" fontId="20" fillId="0" borderId="25" xfId="0" applyFont="1" applyBorder="1" applyAlignment="1">
      <alignment horizontal="center"/>
    </xf>
    <xf numFmtId="0" fontId="26" fillId="0" borderId="26" xfId="0" applyFont="1" applyBorder="1"/>
    <xf numFmtId="0" fontId="26" fillId="0" borderId="26" xfId="0" applyFont="1" applyBorder="1" applyAlignment="1">
      <alignment horizontal="right"/>
    </xf>
    <xf numFmtId="4" fontId="26" fillId="0" borderId="27" xfId="0" applyNumberFormat="1" applyFont="1" applyBorder="1"/>
    <xf numFmtId="0" fontId="20" fillId="0" borderId="25" xfId="0" applyFont="1" applyBorder="1"/>
    <xf numFmtId="0" fontId="20" fillId="0" borderId="28" xfId="0" applyFont="1" applyBorder="1"/>
    <xf numFmtId="0" fontId="20" fillId="0" borderId="29" xfId="0" applyFont="1" applyBorder="1"/>
    <xf numFmtId="2" fontId="20" fillId="0" borderId="29" xfId="0" applyNumberFormat="1" applyFont="1" applyBorder="1" applyAlignment="1">
      <alignment horizontal="right"/>
    </xf>
    <xf numFmtId="0" fontId="27" fillId="0" borderId="30" xfId="0" applyFont="1" applyBorder="1"/>
    <xf numFmtId="0" fontId="20" fillId="0" borderId="31" xfId="0" applyFont="1" applyBorder="1"/>
    <xf numFmtId="0" fontId="20" fillId="0" borderId="2" xfId="0" applyFont="1" applyBorder="1"/>
    <xf numFmtId="2" fontId="20" fillId="0" borderId="2" xfId="0" applyNumberFormat="1" applyFont="1" applyBorder="1" applyAlignment="1">
      <alignment horizontal="right"/>
    </xf>
    <xf numFmtId="0" fontId="27" fillId="0" borderId="32" xfId="0" applyFont="1" applyBorder="1"/>
    <xf numFmtId="0" fontId="39" fillId="0" borderId="32" xfId="0" applyFont="1" applyBorder="1"/>
    <xf numFmtId="2" fontId="26" fillId="0" borderId="2" xfId="0" applyNumberFormat="1" applyFont="1" applyBorder="1" applyAlignment="1">
      <alignment horizontal="right"/>
    </xf>
    <xf numFmtId="0" fontId="20" fillId="0" borderId="33" xfId="0" applyFont="1" applyBorder="1"/>
    <xf numFmtId="0" fontId="20" fillId="0" borderId="34" xfId="0" applyFont="1" applyBorder="1"/>
    <xf numFmtId="2" fontId="20" fillId="0" borderId="34" xfId="0" applyNumberFormat="1" applyFont="1" applyBorder="1" applyAlignment="1">
      <alignment horizontal="right"/>
    </xf>
    <xf numFmtId="0" fontId="39" fillId="0" borderId="35" xfId="0" applyFont="1" applyBorder="1"/>
    <xf numFmtId="0" fontId="26" fillId="3" borderId="25" xfId="0" applyFont="1" applyFill="1" applyBorder="1" applyAlignment="1">
      <alignment horizontal="center"/>
    </xf>
    <xf numFmtId="0" fontId="26" fillId="3" borderId="36" xfId="0" applyFont="1" applyFill="1" applyBorder="1"/>
    <xf numFmtId="2" fontId="26" fillId="3" borderId="36" xfId="0" applyNumberFormat="1" applyFont="1" applyFill="1" applyBorder="1"/>
    <xf numFmtId="0" fontId="27" fillId="3" borderId="27" xfId="0" applyFont="1" applyFill="1" applyBorder="1"/>
    <xf numFmtId="0" fontId="20" fillId="3" borderId="28" xfId="0" applyFont="1" applyFill="1" applyBorder="1" applyAlignment="1">
      <alignment horizontal="center"/>
    </xf>
    <xf numFmtId="0" fontId="20" fillId="3" borderId="28" xfId="0" applyFont="1" applyFill="1" applyBorder="1"/>
    <xf numFmtId="0" fontId="20" fillId="3" borderId="29" xfId="0" applyFont="1" applyFill="1" applyBorder="1"/>
    <xf numFmtId="2" fontId="20" fillId="3" borderId="29" xfId="0" applyNumberFormat="1" applyFont="1" applyFill="1" applyBorder="1"/>
    <xf numFmtId="0" fontId="39" fillId="3" borderId="30" xfId="0" applyFont="1" applyFill="1" applyBorder="1"/>
    <xf numFmtId="0" fontId="20" fillId="3" borderId="48" xfId="0" applyFont="1" applyFill="1" applyBorder="1"/>
    <xf numFmtId="0" fontId="20" fillId="3" borderId="13" xfId="0" applyFont="1" applyFill="1" applyBorder="1"/>
    <xf numFmtId="2" fontId="20" fillId="3" borderId="13" xfId="0" applyNumberFormat="1" applyFont="1" applyFill="1" applyBorder="1" applyAlignment="1"/>
    <xf numFmtId="0" fontId="27" fillId="3" borderId="49" xfId="0" applyFont="1" applyFill="1" applyBorder="1"/>
    <xf numFmtId="0" fontId="20" fillId="3" borderId="31" xfId="0" applyFont="1" applyFill="1" applyBorder="1"/>
    <xf numFmtId="0" fontId="20" fillId="3" borderId="2" xfId="0" applyFont="1" applyFill="1" applyBorder="1"/>
    <xf numFmtId="2" fontId="20" fillId="3" borderId="2" xfId="0" applyNumberFormat="1" applyFont="1" applyFill="1" applyBorder="1" applyAlignment="1"/>
    <xf numFmtId="0" fontId="27" fillId="3" borderId="32" xfId="0" applyFont="1" applyFill="1" applyBorder="1"/>
    <xf numFmtId="0" fontId="26" fillId="0" borderId="25" xfId="0" applyFont="1" applyBorder="1" applyAlignment="1">
      <alignment horizontal="center"/>
    </xf>
    <xf numFmtId="0" fontId="26" fillId="0" borderId="20" xfId="0" applyFont="1" applyBorder="1" applyAlignment="1"/>
    <xf numFmtId="0" fontId="26" fillId="0" borderId="21" xfId="0" applyFont="1" applyBorder="1" applyAlignment="1">
      <alignment horizontal="left" indent="2"/>
    </xf>
    <xf numFmtId="0" fontId="26" fillId="0" borderId="21" xfId="0" applyFont="1" applyBorder="1" applyAlignment="1"/>
    <xf numFmtId="4" fontId="26" fillId="0" borderId="15" xfId="0" applyNumberFormat="1" applyFont="1" applyBorder="1" applyAlignment="1"/>
    <xf numFmtId="0" fontId="26" fillId="0" borderId="16" xfId="0" applyFont="1" applyBorder="1" applyAlignment="1"/>
    <xf numFmtId="0" fontId="26" fillId="0" borderId="36" xfId="0" applyFont="1" applyBorder="1"/>
    <xf numFmtId="0" fontId="26" fillId="0" borderId="36" xfId="0" applyFont="1" applyBorder="1" applyAlignment="1">
      <alignment horizontal="right"/>
    </xf>
    <xf numFmtId="0" fontId="20" fillId="0" borderId="38" xfId="0" applyFont="1" applyBorder="1"/>
    <xf numFmtId="0" fontId="20" fillId="0" borderId="0" xfId="0" applyFont="1" applyBorder="1"/>
    <xf numFmtId="0" fontId="39" fillId="0" borderId="43" xfId="0" applyFont="1" applyBorder="1"/>
    <xf numFmtId="0" fontId="20" fillId="0" borderId="37" xfId="0" applyFont="1" applyBorder="1" applyAlignment="1">
      <alignment horizontal="center"/>
    </xf>
    <xf numFmtId="4" fontId="26" fillId="0" borderId="26" xfId="0" applyNumberFormat="1" applyFont="1" applyBorder="1"/>
    <xf numFmtId="0" fontId="39" fillId="0" borderId="15" xfId="0" applyFont="1" applyBorder="1"/>
    <xf numFmtId="2" fontId="20" fillId="0" borderId="13" xfId="0" applyNumberFormat="1" applyFont="1" applyBorder="1" applyAlignment="1">
      <alignment horizontal="right"/>
    </xf>
    <xf numFmtId="0" fontId="20" fillId="0" borderId="39" xfId="0" applyFont="1" applyBorder="1"/>
    <xf numFmtId="0" fontId="20" fillId="0" borderId="40" xfId="0" applyFont="1" applyBorder="1"/>
    <xf numFmtId="0" fontId="39" fillId="0" borderId="41" xfId="0" applyFont="1" applyBorder="1"/>
    <xf numFmtId="2" fontId="20" fillId="0" borderId="34" xfId="0" applyNumberFormat="1" applyFont="1" applyBorder="1"/>
    <xf numFmtId="2" fontId="20" fillId="0" borderId="0" xfId="0" applyNumberFormat="1" applyFont="1" applyBorder="1"/>
    <xf numFmtId="0" fontId="39" fillId="0" borderId="0" xfId="0" applyFont="1" applyBorder="1"/>
    <xf numFmtId="0" fontId="20" fillId="0" borderId="19" xfId="0" applyFont="1" applyBorder="1"/>
    <xf numFmtId="0" fontId="26" fillId="0" borderId="53" xfId="0" applyFont="1" applyBorder="1"/>
    <xf numFmtId="2" fontId="26" fillId="0" borderId="15" xfId="0" applyNumberFormat="1" applyFont="1" applyBorder="1"/>
    <xf numFmtId="0" fontId="27" fillId="0" borderId="54" xfId="0" applyFont="1" applyBorder="1"/>
    <xf numFmtId="0" fontId="26" fillId="0" borderId="37" xfId="0" applyFont="1" applyBorder="1" applyAlignment="1">
      <alignment horizontal="center"/>
    </xf>
    <xf numFmtId="2" fontId="26" fillId="0" borderId="26" xfId="0" applyNumberFormat="1" applyFont="1" applyBorder="1" applyAlignment="1">
      <alignment horizontal="right"/>
    </xf>
    <xf numFmtId="0" fontId="39" fillId="0" borderId="50" xfId="0" applyFont="1" applyBorder="1"/>
    <xf numFmtId="0" fontId="26" fillId="0" borderId="42" xfId="0" applyFont="1" applyBorder="1" applyAlignment="1">
      <alignment horizontal="center"/>
    </xf>
    <xf numFmtId="0" fontId="20" fillId="0" borderId="48" xfId="0" applyFont="1" applyBorder="1"/>
    <xf numFmtId="0" fontId="20" fillId="0" borderId="13" xfId="0" applyFont="1" applyBorder="1"/>
    <xf numFmtId="0" fontId="27" fillId="0" borderId="49" xfId="0" applyFont="1" applyBorder="1"/>
    <xf numFmtId="0" fontId="20" fillId="0" borderId="42" xfId="0" applyFont="1" applyBorder="1"/>
    <xf numFmtId="0" fontId="20" fillId="0" borderId="10" xfId="0" applyFont="1" applyBorder="1"/>
    <xf numFmtId="2" fontId="20" fillId="0" borderId="9" xfId="0" applyNumberFormat="1" applyFont="1" applyBorder="1"/>
    <xf numFmtId="0" fontId="35" fillId="0" borderId="42" xfId="0" applyFont="1" applyBorder="1"/>
    <xf numFmtId="0" fontId="26" fillId="0" borderId="10" xfId="0" applyFont="1" applyBorder="1"/>
    <xf numFmtId="0" fontId="35" fillId="0" borderId="10" xfId="0" applyFont="1" applyBorder="1"/>
    <xf numFmtId="4" fontId="26" fillId="0" borderId="9" xfId="0" applyNumberFormat="1" applyFont="1" applyBorder="1"/>
    <xf numFmtId="0" fontId="35" fillId="0" borderId="43" xfId="0" applyFont="1" applyBorder="1"/>
    <xf numFmtId="2" fontId="20" fillId="0" borderId="29" xfId="0" applyNumberFormat="1" applyFont="1" applyBorder="1" applyAlignment="1"/>
    <xf numFmtId="2" fontId="20" fillId="0" borderId="2" xfId="0" applyNumberFormat="1" applyFont="1" applyBorder="1" applyAlignment="1"/>
    <xf numFmtId="0" fontId="20" fillId="0" borderId="7" xfId="0" applyFont="1" applyBorder="1"/>
    <xf numFmtId="2" fontId="20" fillId="0" borderId="7" xfId="0" applyNumberFormat="1" applyFont="1" applyBorder="1"/>
    <xf numFmtId="0" fontId="26" fillId="0" borderId="44" xfId="0" applyFont="1" applyBorder="1"/>
    <xf numFmtId="0" fontId="26" fillId="0" borderId="15" xfId="0" applyFont="1" applyBorder="1" applyAlignment="1">
      <alignment horizontal="right"/>
    </xf>
    <xf numFmtId="4" fontId="26" fillId="0" borderId="45" xfId="0" applyNumberFormat="1" applyFont="1" applyBorder="1"/>
    <xf numFmtId="0" fontId="20" fillId="0" borderId="46" xfId="0" applyFont="1" applyBorder="1"/>
    <xf numFmtId="0" fontId="20" fillId="0" borderId="13" xfId="0" applyFont="1" applyBorder="1" applyAlignment="1">
      <alignment horizontal="right"/>
    </xf>
    <xf numFmtId="2" fontId="26" fillId="0" borderId="13" xfId="0" applyNumberFormat="1" applyFont="1" applyBorder="1" applyAlignment="1">
      <alignment horizontal="right"/>
    </xf>
    <xf numFmtId="0" fontId="20" fillId="0" borderId="47" xfId="0" applyFont="1" applyBorder="1"/>
    <xf numFmtId="0" fontId="20" fillId="0" borderId="52" xfId="0" applyFont="1" applyBorder="1"/>
    <xf numFmtId="0" fontId="20" fillId="0" borderId="22" xfId="0" applyFont="1" applyBorder="1"/>
    <xf numFmtId="2" fontId="20" fillId="0" borderId="51" xfId="0" applyNumberFormat="1" applyFont="1" applyBorder="1"/>
    <xf numFmtId="0" fontId="39" fillId="0" borderId="18" xfId="0" applyFont="1" applyBorder="1"/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/>
    <xf numFmtId="49" fontId="26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209" applyFont="1" applyAlignment="1">
      <alignment horizontal="left" vertical="center"/>
    </xf>
    <xf numFmtId="0" fontId="18" fillId="0" borderId="0" xfId="209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</cellXfs>
  <cellStyles count="238">
    <cellStyle name="S0" xfId="1"/>
    <cellStyle name="S1" xfId="2"/>
    <cellStyle name="S10" xfId="3"/>
    <cellStyle name="S10 2" xfId="4"/>
    <cellStyle name="S10_вырубка" xfId="5"/>
    <cellStyle name="S11" xfId="6"/>
    <cellStyle name="S11 2" xfId="7"/>
    <cellStyle name="S11_вырубка" xfId="8"/>
    <cellStyle name="S12" xfId="9"/>
    <cellStyle name="S13" xfId="10"/>
    <cellStyle name="S13 2" xfId="11"/>
    <cellStyle name="S13_Лист1" xfId="12"/>
    <cellStyle name="S14" xfId="13"/>
    <cellStyle name="S15" xfId="14"/>
    <cellStyle name="S15 2" xfId="15"/>
    <cellStyle name="S15_вырубка" xfId="16"/>
    <cellStyle name="S16" xfId="17"/>
    <cellStyle name="S16 2" xfId="18"/>
    <cellStyle name="S16_вырубка" xfId="19"/>
    <cellStyle name="S17" xfId="20"/>
    <cellStyle name="S17 2" xfId="21"/>
    <cellStyle name="S17_вырубка" xfId="22"/>
    <cellStyle name="S18" xfId="23"/>
    <cellStyle name="S18 2" xfId="24"/>
    <cellStyle name="S18_вырубка" xfId="25"/>
    <cellStyle name="S19" xfId="26"/>
    <cellStyle name="S2" xfId="27"/>
    <cellStyle name="S20" xfId="28"/>
    <cellStyle name="S20 2" xfId="29"/>
    <cellStyle name="S20_вырубка" xfId="30"/>
    <cellStyle name="S21" xfId="31"/>
    <cellStyle name="S21 2" xfId="32"/>
    <cellStyle name="S21_вырубка" xfId="33"/>
    <cellStyle name="S22" xfId="34"/>
    <cellStyle name="S22 2" xfId="35"/>
    <cellStyle name="S22_вырубка" xfId="36"/>
    <cellStyle name="S23" xfId="37"/>
    <cellStyle name="S24" xfId="38"/>
    <cellStyle name="S24 2" xfId="39"/>
    <cellStyle name="S24_Лист1" xfId="40"/>
    <cellStyle name="S25" xfId="41"/>
    <cellStyle name="S25 2" xfId="42"/>
    <cellStyle name="S25_вырубка" xfId="43"/>
    <cellStyle name="S26" xfId="44"/>
    <cellStyle name="S26 2" xfId="45"/>
    <cellStyle name="S26_вырубка" xfId="46"/>
    <cellStyle name="S27" xfId="47"/>
    <cellStyle name="S28" xfId="48"/>
    <cellStyle name="S29" xfId="49"/>
    <cellStyle name="S3" xfId="50"/>
    <cellStyle name="S30" xfId="51"/>
    <cellStyle name="S31" xfId="52"/>
    <cellStyle name="S32" xfId="53"/>
    <cellStyle name="S33" xfId="54"/>
    <cellStyle name="S33 2" xfId="55"/>
    <cellStyle name="S33_Лист1" xfId="56"/>
    <cellStyle name="S34" xfId="57"/>
    <cellStyle name="S34 2" xfId="58"/>
    <cellStyle name="S34_вырубка" xfId="59"/>
    <cellStyle name="S35" xfId="60"/>
    <cellStyle name="S35 2" xfId="61"/>
    <cellStyle name="S35_вырубка" xfId="62"/>
    <cellStyle name="S36" xfId="63"/>
    <cellStyle name="S36 2" xfId="64"/>
    <cellStyle name="S36_вырубка" xfId="65"/>
    <cellStyle name="S37" xfId="66"/>
    <cellStyle name="S37 2" xfId="67"/>
    <cellStyle name="S37_вырубка" xfId="68"/>
    <cellStyle name="S38" xfId="69"/>
    <cellStyle name="S38 2" xfId="70"/>
    <cellStyle name="S38_вырубка" xfId="71"/>
    <cellStyle name="S39" xfId="72"/>
    <cellStyle name="S39 2" xfId="73"/>
    <cellStyle name="S39_Лист1" xfId="74"/>
    <cellStyle name="S4" xfId="75"/>
    <cellStyle name="S40" xfId="76"/>
    <cellStyle name="S40 2" xfId="77"/>
    <cellStyle name="S40_вырубка" xfId="78"/>
    <cellStyle name="S41" xfId="79"/>
    <cellStyle name="S41 2" xfId="80"/>
    <cellStyle name="S41_вырубка" xfId="81"/>
    <cellStyle name="S42" xfId="82"/>
    <cellStyle name="S42 2" xfId="83"/>
    <cellStyle name="S42_вырубка" xfId="84"/>
    <cellStyle name="S43" xfId="85"/>
    <cellStyle name="S43 2" xfId="86"/>
    <cellStyle name="S43_вырубка" xfId="87"/>
    <cellStyle name="S44" xfId="88"/>
    <cellStyle name="S44 2" xfId="89"/>
    <cellStyle name="S44_вырубка" xfId="90"/>
    <cellStyle name="S45" xfId="91"/>
    <cellStyle name="S45 2" xfId="92"/>
    <cellStyle name="S45_вырубка" xfId="93"/>
    <cellStyle name="S46" xfId="94"/>
    <cellStyle name="S46 2" xfId="95"/>
    <cellStyle name="S46_вырубка" xfId="96"/>
    <cellStyle name="S47" xfId="97"/>
    <cellStyle name="S47 2" xfId="98"/>
    <cellStyle name="S47_вырубка" xfId="99"/>
    <cellStyle name="S48" xfId="100"/>
    <cellStyle name="S48 2" xfId="101"/>
    <cellStyle name="S48_вырубка" xfId="102"/>
    <cellStyle name="S49" xfId="103"/>
    <cellStyle name="S49 2" xfId="104"/>
    <cellStyle name="S49_вырубка" xfId="105"/>
    <cellStyle name="S5" xfId="106"/>
    <cellStyle name="S50" xfId="107"/>
    <cellStyle name="S50 2" xfId="108"/>
    <cellStyle name="S50_вырубка" xfId="109"/>
    <cellStyle name="S51" xfId="110"/>
    <cellStyle name="S51 2" xfId="111"/>
    <cellStyle name="S51_вырубка" xfId="112"/>
    <cellStyle name="S52" xfId="113"/>
    <cellStyle name="S52 2" xfId="114"/>
    <cellStyle name="S52_вырубка" xfId="115"/>
    <cellStyle name="S53" xfId="116"/>
    <cellStyle name="S53 2" xfId="117"/>
    <cellStyle name="S53_вырубка" xfId="118"/>
    <cellStyle name="S54" xfId="119"/>
    <cellStyle name="S54 2" xfId="120"/>
    <cellStyle name="S54_вырубка" xfId="121"/>
    <cellStyle name="S55" xfId="122"/>
    <cellStyle name="S55 2" xfId="123"/>
    <cellStyle name="S55_вырубка" xfId="124"/>
    <cellStyle name="S56" xfId="125"/>
    <cellStyle name="S56 2" xfId="126"/>
    <cellStyle name="S56_Лист1" xfId="127"/>
    <cellStyle name="S57" xfId="128"/>
    <cellStyle name="S57 2" xfId="129"/>
    <cellStyle name="S57_Лист1" xfId="130"/>
    <cellStyle name="S58" xfId="131"/>
    <cellStyle name="S58 2" xfId="132"/>
    <cellStyle name="S58_вырубка" xfId="133"/>
    <cellStyle name="S59" xfId="134"/>
    <cellStyle name="S59 2" xfId="135"/>
    <cellStyle name="S59_вырубка" xfId="136"/>
    <cellStyle name="S6" xfId="137"/>
    <cellStyle name="S60" xfId="138"/>
    <cellStyle name="S60 2" xfId="139"/>
    <cellStyle name="S60_вырубка" xfId="140"/>
    <cellStyle name="S61" xfId="141"/>
    <cellStyle name="S61 2" xfId="142"/>
    <cellStyle name="S61_вырубка" xfId="143"/>
    <cellStyle name="S62" xfId="144"/>
    <cellStyle name="S62 2" xfId="145"/>
    <cellStyle name="S62_вырубка" xfId="146"/>
    <cellStyle name="S63" xfId="147"/>
    <cellStyle name="S63 2" xfId="148"/>
    <cellStyle name="S63_вырубка" xfId="149"/>
    <cellStyle name="S64" xfId="150"/>
    <cellStyle name="S64 2" xfId="151"/>
    <cellStyle name="S64_вырубка" xfId="152"/>
    <cellStyle name="S65" xfId="153"/>
    <cellStyle name="S66" xfId="154"/>
    <cellStyle name="S66 2" xfId="155"/>
    <cellStyle name="S66_вырубка" xfId="156"/>
    <cellStyle name="S67" xfId="157"/>
    <cellStyle name="S67 2" xfId="158"/>
    <cellStyle name="S67_СМР" xfId="159"/>
    <cellStyle name="S68" xfId="160"/>
    <cellStyle name="S68 2" xfId="161"/>
    <cellStyle name="S68_СМР" xfId="162"/>
    <cellStyle name="S69" xfId="163"/>
    <cellStyle name="S69 2" xfId="164"/>
    <cellStyle name="S69_СМР" xfId="165"/>
    <cellStyle name="S7" xfId="166"/>
    <cellStyle name="S70" xfId="167"/>
    <cellStyle name="S70 2" xfId="168"/>
    <cellStyle name="S71" xfId="169"/>
    <cellStyle name="S71 2" xfId="170"/>
    <cellStyle name="S72" xfId="171"/>
    <cellStyle name="S72 2" xfId="172"/>
    <cellStyle name="S73" xfId="173"/>
    <cellStyle name="S73 2" xfId="174"/>
    <cellStyle name="S73 3" xfId="175"/>
    <cellStyle name="S74" xfId="176"/>
    <cellStyle name="S74 2" xfId="177"/>
    <cellStyle name="S75" xfId="178"/>
    <cellStyle name="S75 2" xfId="179"/>
    <cellStyle name="S76" xfId="180"/>
    <cellStyle name="S76 2" xfId="181"/>
    <cellStyle name="S77" xfId="182"/>
    <cellStyle name="S77 2" xfId="183"/>
    <cellStyle name="S78" xfId="184"/>
    <cellStyle name="S78 2" xfId="185"/>
    <cellStyle name="S79" xfId="186"/>
    <cellStyle name="S8" xfId="187"/>
    <cellStyle name="S80" xfId="188"/>
    <cellStyle name="S81" xfId="189"/>
    <cellStyle name="S9" xfId="190"/>
    <cellStyle name="Акт" xfId="191"/>
    <cellStyle name="ВедРесурсов" xfId="192"/>
    <cellStyle name="Денежный 2" xfId="193"/>
    <cellStyle name="Итоги" xfId="194"/>
    <cellStyle name="ЛокСмета" xfId="195"/>
    <cellStyle name="ОбСмета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3" xfId="202"/>
    <cellStyle name="Обычный 14" xfId="203"/>
    <cellStyle name="Обычный 15" xfId="204"/>
    <cellStyle name="Обычный 2" xfId="205"/>
    <cellStyle name="Обычный 2 2" xfId="206"/>
    <cellStyle name="Обычный 2 2 2" xfId="207"/>
    <cellStyle name="Обычный 2_УТР ВЛ-до 10 кВ С-2" xfId="208"/>
    <cellStyle name="Обычный 2_УТР КЛ-0,4 С3-1" xfId="209"/>
    <cellStyle name="Обычный 3" xfId="210"/>
    <cellStyle name="Обычный 4" xfId="211"/>
    <cellStyle name="Обычный 4 2" xfId="212"/>
    <cellStyle name="Обычный 5" xfId="213"/>
    <cellStyle name="Обычный 5 2" xfId="214"/>
    <cellStyle name="Обычный 5_УТР Калькуляция ТП С1" xfId="215"/>
    <cellStyle name="Обычный 6" xfId="216"/>
    <cellStyle name="Обычный 6 2" xfId="217"/>
    <cellStyle name="Обычный 6_УТР Калькуляция ТП С1" xfId="218"/>
    <cellStyle name="Обычный 7" xfId="219"/>
    <cellStyle name="Обычный 7 2" xfId="220"/>
    <cellStyle name="Обычный 8" xfId="221"/>
    <cellStyle name="Обычный 8 2" xfId="222"/>
    <cellStyle name="Обычный 9" xfId="223"/>
    <cellStyle name="Процентный 2" xfId="224"/>
    <cellStyle name="РесСмета" xfId="225"/>
    <cellStyle name="СводкаСтоимРаб" xfId="226"/>
    <cellStyle name="СводРасч" xfId="227"/>
    <cellStyle name="Список ресурсов" xfId="228"/>
    <cellStyle name="Титул" xfId="229"/>
    <cellStyle name="Тысячи [0]_Лист2" xfId="230"/>
    <cellStyle name="Тысячи_Лист2" xfId="231"/>
    <cellStyle name="Финансовый 2" xfId="232"/>
    <cellStyle name="Финансовый 3" xfId="233"/>
    <cellStyle name="Финансовый 4" xfId="234"/>
    <cellStyle name="Финансовый 5" xfId="235"/>
    <cellStyle name="Хвост" xfId="236"/>
    <cellStyle name="Экспертиза" xfId="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D34" sqref="D34"/>
    </sheetView>
  </sheetViews>
  <sheetFormatPr defaultRowHeight="15" x14ac:dyDescent="0.25"/>
  <cols>
    <col min="1" max="1" width="4" customWidth="1"/>
    <col min="2" max="2" width="40.140625" customWidth="1"/>
    <col min="3" max="3" width="27.7109375" customWidth="1"/>
    <col min="4" max="4" width="12.5703125" customWidth="1"/>
    <col min="5" max="5" width="16.7109375" customWidth="1"/>
    <col min="6" max="6" width="17" customWidth="1"/>
    <col min="8" max="8" width="21" customWidth="1"/>
    <col min="9" max="9" width="16.140625" customWidth="1"/>
    <col min="10" max="10" width="13.5703125" customWidth="1"/>
  </cols>
  <sheetData>
    <row r="1" spans="1:11" x14ac:dyDescent="0.25">
      <c r="A1" s="1" t="s">
        <v>30</v>
      </c>
      <c r="B1" s="2"/>
      <c r="C1" s="2"/>
      <c r="D1" s="2"/>
      <c r="E1" s="2"/>
      <c r="F1" s="2"/>
    </row>
    <row r="2" spans="1:11" x14ac:dyDescent="0.25">
      <c r="A2" s="1"/>
      <c r="B2" s="1" t="s">
        <v>63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11" ht="36" x14ac:dyDescent="0.35">
      <c r="A12" s="20"/>
      <c r="B12" s="12" t="s">
        <v>64</v>
      </c>
      <c r="C12" s="56" t="s">
        <v>50</v>
      </c>
      <c r="D12" s="11" t="s">
        <v>119</v>
      </c>
      <c r="E12" s="11"/>
      <c r="F12" s="21">
        <f>174*0.7*1.036*1.022</f>
        <v>128.96086560000001</v>
      </c>
      <c r="H12" s="49" t="s">
        <v>31</v>
      </c>
    </row>
    <row r="13" spans="1:11" ht="24" thickBot="1" x14ac:dyDescent="0.3">
      <c r="A13" s="20"/>
      <c r="B13" s="12" t="s">
        <v>46</v>
      </c>
      <c r="C13" s="56" t="s">
        <v>109</v>
      </c>
      <c r="D13" s="11"/>
      <c r="E13" s="12"/>
      <c r="F13" s="98"/>
    </row>
    <row r="14" spans="1:11" ht="16.5" thickBot="1" x14ac:dyDescent="0.3">
      <c r="A14" s="20"/>
      <c r="B14" s="54" t="s">
        <v>33</v>
      </c>
      <c r="C14" s="20"/>
      <c r="D14" s="11"/>
      <c r="E14" s="11"/>
      <c r="F14" s="21"/>
      <c r="H14" s="50" t="s">
        <v>34</v>
      </c>
      <c r="I14" s="51" t="s">
        <v>35</v>
      </c>
      <c r="J14" s="51" t="s">
        <v>36</v>
      </c>
      <c r="K14" s="51" t="s">
        <v>37</v>
      </c>
    </row>
    <row r="15" spans="1:11" ht="16.5" thickBot="1" x14ac:dyDescent="0.3">
      <c r="A15" s="15"/>
      <c r="B15" s="111" t="s">
        <v>110</v>
      </c>
      <c r="C15" s="15"/>
      <c r="D15" s="16"/>
      <c r="E15" s="16"/>
      <c r="F15" s="22"/>
      <c r="H15" s="52" t="s">
        <v>38</v>
      </c>
      <c r="I15" s="53" t="s">
        <v>39</v>
      </c>
      <c r="J15" s="53" t="s">
        <v>40</v>
      </c>
      <c r="K15" s="53" t="s">
        <v>41</v>
      </c>
    </row>
    <row r="16" spans="1:11" ht="16.5" thickBot="1" x14ac:dyDescent="0.3">
      <c r="A16" s="20">
        <v>3</v>
      </c>
      <c r="B16" s="12" t="s">
        <v>32</v>
      </c>
      <c r="C16" s="20" t="s">
        <v>10</v>
      </c>
      <c r="D16" s="11"/>
      <c r="E16" s="11"/>
      <c r="F16" s="21"/>
      <c r="H16" s="52" t="s">
        <v>42</v>
      </c>
      <c r="I16" s="53" t="s">
        <v>43</v>
      </c>
      <c r="J16" s="53" t="s">
        <v>44</v>
      </c>
      <c r="K16" s="53" t="s">
        <v>45</v>
      </c>
    </row>
    <row r="17" spans="1:6" x14ac:dyDescent="0.25">
      <c r="A17" s="20"/>
      <c r="B17" s="12" t="s">
        <v>64</v>
      </c>
      <c r="C17" s="98"/>
      <c r="D17" s="11" t="s">
        <v>118</v>
      </c>
      <c r="E17" s="11"/>
      <c r="F17" s="21">
        <f>174*0.2*1.036</f>
        <v>36.052800000000005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20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64</v>
      </c>
      <c r="C22" s="98"/>
      <c r="D22" s="11" t="s">
        <v>120</v>
      </c>
      <c r="E22" s="11"/>
      <c r="F22" s="21">
        <f>174*0.1*1.022</f>
        <v>17.782800000000002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F17+F22+F12</f>
        <v>182.7964656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182.7964656</v>
      </c>
      <c r="E29" s="28">
        <v>4.0000000000000002E-4</v>
      </c>
      <c r="F29" s="21">
        <f>E29*F26</f>
        <v>7.3118586240000005E-2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10" x14ac:dyDescent="0.25">
      <c r="A33" s="9"/>
      <c r="B33" s="20" t="s">
        <v>14</v>
      </c>
      <c r="C33" s="114" t="s">
        <v>234</v>
      </c>
      <c r="D33" s="26">
        <f>F26</f>
        <v>182.7964656</v>
      </c>
      <c r="E33" s="27">
        <v>2.1000000000000001E-2</v>
      </c>
      <c r="F33" s="21">
        <f>E33*F26</f>
        <v>3.8387257776000006</v>
      </c>
    </row>
    <row r="34" spans="1:10" x14ac:dyDescent="0.25">
      <c r="A34" s="9"/>
      <c r="B34" s="20" t="s">
        <v>15</v>
      </c>
      <c r="C34" s="11" t="s">
        <v>49</v>
      </c>
      <c r="D34" s="26">
        <f>F26</f>
        <v>182.7964656</v>
      </c>
      <c r="E34" s="27">
        <v>0.03</v>
      </c>
      <c r="F34" s="21">
        <f>E34*F26</f>
        <v>5.4838939680000003</v>
      </c>
    </row>
    <row r="35" spans="1:10" x14ac:dyDescent="0.25">
      <c r="A35" s="9"/>
      <c r="B35" s="15"/>
      <c r="C35" s="11"/>
      <c r="D35" s="9"/>
      <c r="E35" s="30"/>
      <c r="F35" s="29"/>
    </row>
    <row r="36" spans="1:10" x14ac:dyDescent="0.25">
      <c r="A36" s="14"/>
      <c r="B36" s="32" t="s">
        <v>16</v>
      </c>
      <c r="C36" s="31"/>
      <c r="D36" s="31"/>
      <c r="E36" s="33"/>
      <c r="F36" s="34">
        <f>F26+F29+F33+F34</f>
        <v>192.19220393184</v>
      </c>
    </row>
    <row r="37" spans="1:10" x14ac:dyDescent="0.25">
      <c r="A37" s="3"/>
      <c r="B37" s="11"/>
      <c r="C37" s="11"/>
      <c r="D37" s="11"/>
      <c r="E37" s="11"/>
      <c r="F37" s="35"/>
    </row>
    <row r="38" spans="1:10" x14ac:dyDescent="0.25">
      <c r="A38" s="11"/>
      <c r="B38" s="11"/>
      <c r="C38" s="11"/>
      <c r="D38" s="11"/>
      <c r="E38" s="11"/>
      <c r="F38" s="35"/>
    </row>
    <row r="39" spans="1:10" x14ac:dyDescent="0.25">
      <c r="A39" s="19"/>
      <c r="B39" s="6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10" x14ac:dyDescent="0.25">
      <c r="A40" s="20"/>
      <c r="B40" s="12"/>
      <c r="C40" s="11"/>
      <c r="D40" s="9" t="s">
        <v>22</v>
      </c>
      <c r="E40" s="20" t="s">
        <v>180</v>
      </c>
      <c r="F40" s="12" t="s">
        <v>23</v>
      </c>
    </row>
    <row r="41" spans="1:10" x14ac:dyDescent="0.25">
      <c r="A41" s="15"/>
      <c r="B41" s="17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10" ht="15" customHeight="1" x14ac:dyDescent="0.25">
      <c r="A42" s="19"/>
      <c r="B42" s="12"/>
      <c r="C42" s="20"/>
      <c r="D42" s="11"/>
      <c r="E42" s="20"/>
      <c r="F42" s="36"/>
      <c r="H42" s="217" t="s">
        <v>157</v>
      </c>
      <c r="I42" s="218"/>
      <c r="J42" s="219"/>
    </row>
    <row r="43" spans="1:10" ht="45" x14ac:dyDescent="0.25">
      <c r="A43" s="20"/>
      <c r="B43" s="12" t="s">
        <v>167</v>
      </c>
      <c r="C43" s="37">
        <f>F36*0.887</f>
        <v>170.47448488754208</v>
      </c>
      <c r="D43" s="38">
        <v>7.18</v>
      </c>
      <c r="E43" s="36">
        <f>C43*D43</f>
        <v>1224.0068014925521</v>
      </c>
      <c r="F43" s="36">
        <f>E43*1.09</f>
        <v>1334.1674136268819</v>
      </c>
      <c r="H43" s="76" t="s">
        <v>158</v>
      </c>
      <c r="I43" s="77" t="s">
        <v>159</v>
      </c>
      <c r="J43" s="76" t="s">
        <v>160</v>
      </c>
    </row>
    <row r="44" spans="1:10" x14ac:dyDescent="0.25">
      <c r="A44" s="20"/>
      <c r="B44" s="11"/>
      <c r="C44" s="37"/>
      <c r="D44" s="11"/>
      <c r="E44" s="36"/>
      <c r="F44" s="36"/>
      <c r="H44" s="78" t="s">
        <v>161</v>
      </c>
      <c r="I44" s="79">
        <v>0.82499999999999996</v>
      </c>
      <c r="J44" s="80">
        <f>ROUND(I44/(100%-$I$48),3)</f>
        <v>0.88700000000000001</v>
      </c>
    </row>
    <row r="45" spans="1:10" x14ac:dyDescent="0.25">
      <c r="A45" s="20"/>
      <c r="B45" s="11" t="s">
        <v>51</v>
      </c>
      <c r="C45" s="37">
        <f>F36*0.005</f>
        <v>0.9609610196592</v>
      </c>
      <c r="D45" s="38">
        <v>20.07</v>
      </c>
      <c r="E45" s="36">
        <f>C45*D45</f>
        <v>19.286487664560145</v>
      </c>
      <c r="F45" s="39">
        <f>E45*1.09</f>
        <v>21.022271554370558</v>
      </c>
      <c r="H45" s="81" t="s">
        <v>162</v>
      </c>
      <c r="I45" s="82">
        <v>0</v>
      </c>
      <c r="J45" s="80">
        <f>ROUND(I45/(100%-$I$48),3)</f>
        <v>0</v>
      </c>
    </row>
    <row r="46" spans="1:10" x14ac:dyDescent="0.25">
      <c r="A46" s="20"/>
      <c r="B46" s="11"/>
      <c r="C46" s="37"/>
      <c r="D46" s="38"/>
      <c r="E46" s="36"/>
      <c r="F46" s="39"/>
      <c r="H46" s="81" t="s">
        <v>163</v>
      </c>
      <c r="I46" s="82">
        <v>5.0000000000000001E-3</v>
      </c>
      <c r="J46" s="80">
        <f>ROUND(I46/(100%-$I$48),3)</f>
        <v>5.0000000000000001E-3</v>
      </c>
    </row>
    <row r="47" spans="1:10" x14ac:dyDescent="0.25">
      <c r="A47" s="20"/>
      <c r="B47" s="11" t="s">
        <v>168</v>
      </c>
      <c r="C47" s="37">
        <f>F36*0.108</f>
        <v>20.756758024638721</v>
      </c>
      <c r="D47" s="38">
        <v>8.42</v>
      </c>
      <c r="E47" s="36">
        <f>C47*D47</f>
        <v>174.77190256745803</v>
      </c>
      <c r="F47" s="39">
        <f>E47*1.09</f>
        <v>190.50137379852927</v>
      </c>
      <c r="H47" s="81" t="s">
        <v>164</v>
      </c>
      <c r="I47" s="82">
        <v>0.1</v>
      </c>
      <c r="J47" s="80">
        <f>ROUND(I47/(100%-$I$48),3)</f>
        <v>0.108</v>
      </c>
    </row>
    <row r="48" spans="1:10" x14ac:dyDescent="0.25">
      <c r="A48" s="15"/>
      <c r="B48" s="11"/>
      <c r="C48" s="37"/>
      <c r="D48" s="11"/>
      <c r="E48" s="20"/>
      <c r="F48" s="39"/>
      <c r="H48" s="83" t="s">
        <v>165</v>
      </c>
      <c r="I48" s="84">
        <v>7.0000000000000007E-2</v>
      </c>
      <c r="J48" s="80">
        <v>0</v>
      </c>
    </row>
    <row r="49" spans="1:10" x14ac:dyDescent="0.25">
      <c r="A49" s="19"/>
      <c r="B49" s="42" t="s">
        <v>137</v>
      </c>
      <c r="C49" s="41">
        <f>C43+C45+C47</f>
        <v>192.19220393184</v>
      </c>
      <c r="D49" s="42"/>
      <c r="E49" s="43">
        <f>E43+E45+E47</f>
        <v>1418.0651917245702</v>
      </c>
      <c r="F49" s="44">
        <f>F43+F45+F47</f>
        <v>1545.6910589797817</v>
      </c>
      <c r="H49" s="85" t="s">
        <v>166</v>
      </c>
      <c r="I49" s="86">
        <f>SUM(I44:I48)</f>
        <v>1</v>
      </c>
      <c r="J49" s="86">
        <f>SUM(J44:J48)</f>
        <v>1</v>
      </c>
    </row>
    <row r="50" spans="1:10" x14ac:dyDescent="0.25">
      <c r="A50" s="15"/>
      <c r="B50" s="47" t="s">
        <v>29</v>
      </c>
      <c r="C50" s="46"/>
      <c r="D50" s="47"/>
      <c r="E50" s="46"/>
      <c r="F50" s="48">
        <f>F49+F9</f>
        <v>1545.6910589797817</v>
      </c>
    </row>
    <row r="51" spans="1:10" x14ac:dyDescent="0.25">
      <c r="A51" s="11"/>
      <c r="B51" s="8"/>
      <c r="C51" s="8"/>
      <c r="D51" s="8"/>
      <c r="E51" s="8"/>
      <c r="F51" s="8"/>
    </row>
    <row r="52" spans="1:10" x14ac:dyDescent="0.25">
      <c r="A52" s="8" t="s">
        <v>181</v>
      </c>
    </row>
    <row r="53" spans="1:10" x14ac:dyDescent="0.25">
      <c r="B53" s="54" t="s">
        <v>155</v>
      </c>
    </row>
    <row r="54" spans="1:10" x14ac:dyDescent="0.25">
      <c r="B54" s="97"/>
    </row>
    <row r="55" spans="1:10" x14ac:dyDescent="0.25">
      <c r="B55" s="54" t="s">
        <v>156</v>
      </c>
    </row>
  </sheetData>
  <mergeCells count="1">
    <mergeCell ref="H42:J42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:E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177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'3.6'!F50*1000</f>
        <v>2221426.9305279418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314205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29" sqref="B29:F34"/>
    </sheetView>
  </sheetViews>
  <sheetFormatPr defaultRowHeight="15" x14ac:dyDescent="0.25"/>
  <cols>
    <col min="1" max="1" width="4.28515625" customWidth="1"/>
    <col min="2" max="2" width="40.140625" customWidth="1"/>
    <col min="3" max="3" width="27.7109375" customWidth="1"/>
    <col min="5" max="5" width="16.7109375" customWidth="1"/>
    <col min="6" max="6" width="17" customWidth="1"/>
  </cols>
  <sheetData>
    <row r="1" spans="1:11" x14ac:dyDescent="0.25">
      <c r="A1" s="1" t="s">
        <v>30</v>
      </c>
      <c r="B1" s="2"/>
      <c r="C1" s="2"/>
      <c r="D1" s="2"/>
      <c r="E1" s="2"/>
      <c r="F1" s="2"/>
    </row>
    <row r="2" spans="1:11" x14ac:dyDescent="0.25">
      <c r="A2" s="1"/>
      <c r="B2" s="1" t="s">
        <v>71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11" ht="36" x14ac:dyDescent="0.35">
      <c r="A12" s="20"/>
      <c r="B12" s="12" t="s">
        <v>72</v>
      </c>
      <c r="C12" s="56" t="s">
        <v>50</v>
      </c>
      <c r="D12" s="11" t="s">
        <v>131</v>
      </c>
      <c r="E12" s="11"/>
      <c r="F12" s="21">
        <f>243*0.7*1.036*1.022</f>
        <v>180.10051920000001</v>
      </c>
      <c r="H12" s="49" t="s">
        <v>31</v>
      </c>
    </row>
    <row r="13" spans="1:11" ht="24" thickBot="1" x14ac:dyDescent="0.3">
      <c r="A13" s="20"/>
      <c r="B13" s="12" t="s">
        <v>46</v>
      </c>
      <c r="C13" s="56" t="s">
        <v>109</v>
      </c>
      <c r="D13" s="11"/>
      <c r="E13" s="12"/>
      <c r="F13" s="98"/>
    </row>
    <row r="14" spans="1:11" ht="16.5" thickBot="1" x14ac:dyDescent="0.3">
      <c r="A14" s="20"/>
      <c r="B14" s="54" t="s">
        <v>33</v>
      </c>
      <c r="C14" s="20"/>
      <c r="D14" s="11"/>
      <c r="E14" s="11"/>
      <c r="F14" s="21"/>
      <c r="H14" s="50" t="s">
        <v>34</v>
      </c>
      <c r="I14" s="51" t="s">
        <v>35</v>
      </c>
      <c r="J14" s="51" t="s">
        <v>36</v>
      </c>
      <c r="K14" s="51" t="s">
        <v>37</v>
      </c>
    </row>
    <row r="15" spans="1:11" ht="16.5" thickBot="1" x14ac:dyDescent="0.3">
      <c r="A15" s="15"/>
      <c r="B15" s="55" t="s">
        <v>110</v>
      </c>
      <c r="C15" s="15"/>
      <c r="D15" s="16"/>
      <c r="E15" s="16"/>
      <c r="F15" s="22"/>
      <c r="H15" s="52" t="s">
        <v>38</v>
      </c>
      <c r="I15" s="53" t="s">
        <v>39</v>
      </c>
      <c r="J15" s="53" t="s">
        <v>40</v>
      </c>
      <c r="K15" s="53" t="s">
        <v>41</v>
      </c>
    </row>
    <row r="16" spans="1:11" ht="16.5" thickBot="1" x14ac:dyDescent="0.3">
      <c r="A16" s="19">
        <v>3</v>
      </c>
      <c r="B16" s="12" t="s">
        <v>32</v>
      </c>
      <c r="C16" s="20" t="s">
        <v>10</v>
      </c>
      <c r="D16" s="11"/>
      <c r="E16" s="11"/>
      <c r="F16" s="21"/>
      <c r="H16" s="52" t="s">
        <v>42</v>
      </c>
      <c r="I16" s="53" t="s">
        <v>43</v>
      </c>
      <c r="J16" s="53" t="s">
        <v>44</v>
      </c>
      <c r="K16" s="53" t="s">
        <v>45</v>
      </c>
    </row>
    <row r="17" spans="1:6" x14ac:dyDescent="0.25">
      <c r="A17" s="20"/>
      <c r="B17" s="12" t="s">
        <v>169</v>
      </c>
      <c r="C17" s="98"/>
      <c r="D17" s="11" t="s">
        <v>132</v>
      </c>
      <c r="E17" s="11"/>
      <c r="F17" s="21">
        <f>243*0.2*1.036</f>
        <v>50.349600000000002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19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169</v>
      </c>
      <c r="C22" s="98"/>
      <c r="D22" s="11" t="s">
        <v>133</v>
      </c>
      <c r="E22" s="11"/>
      <c r="F22" s="21">
        <f>243*0.1*1.022</f>
        <v>24.834600000000002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F12+F22+F17</f>
        <v>255.28471920000001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255.28471920000001</v>
      </c>
      <c r="E29" s="28">
        <v>4.0000000000000002E-4</v>
      </c>
      <c r="F29" s="21">
        <f>E29*F26</f>
        <v>0.10211388768000002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255.28471920000001</v>
      </c>
      <c r="E33" s="27">
        <v>2.1000000000000001E-2</v>
      </c>
      <c r="F33" s="21">
        <f>E33*F26</f>
        <v>5.3609791032000009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255.28471920000001</v>
      </c>
      <c r="E34" s="27">
        <v>0.03</v>
      </c>
      <c r="F34" s="21">
        <f>E34*F26</f>
        <v>7.6585415760000002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268.40635376687999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238.07643579122256</v>
      </c>
      <c r="D43" s="38">
        <v>7.18</v>
      </c>
      <c r="E43" s="36">
        <f>C43*D43</f>
        <v>1709.388808980978</v>
      </c>
      <c r="F43" s="36">
        <f>E43*1.09</f>
        <v>1863.2338017892662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1.3420317688343999</v>
      </c>
      <c r="D45" s="38">
        <v>20.07</v>
      </c>
      <c r="E45" s="36">
        <f>C45*D45</f>
        <v>26.934577600506405</v>
      </c>
      <c r="F45" s="39">
        <f>E45*1.09</f>
        <v>29.358689584551982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28.987886206823038</v>
      </c>
      <c r="D47" s="38">
        <v>8.42</v>
      </c>
      <c r="E47" s="36">
        <f>C47*D47</f>
        <v>244.07800186144999</v>
      </c>
      <c r="F47" s="39">
        <f>E47*1.09</f>
        <v>266.0450220289805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268.40635376687999</v>
      </c>
      <c r="D49" s="42"/>
      <c r="E49" s="43">
        <f>E43+E45+E47</f>
        <v>1980.4013884429344</v>
      </c>
      <c r="F49" s="44">
        <f>F43+F45+F47</f>
        <v>2158.6375134027985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2158.6375134027985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9" sqref="B9:D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178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'3.5'!F50*1000</f>
        <v>2158637.5134027987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305324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H28" sqref="H28:H36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63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64</v>
      </c>
      <c r="C12" s="56" t="s">
        <v>50</v>
      </c>
      <c r="D12" s="11" t="s">
        <v>134</v>
      </c>
      <c r="E12" s="11"/>
      <c r="F12" s="21">
        <f>195.2*0.7*1.036*1.022</f>
        <v>144.67333887999999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 t="s">
        <v>81</v>
      </c>
      <c r="J15" s="223"/>
      <c r="K15" s="224"/>
    </row>
    <row r="16" spans="1:11" ht="32.2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 t="s">
        <v>82</v>
      </c>
      <c r="J16" s="53" t="s">
        <v>83</v>
      </c>
      <c r="K16" s="53" t="s">
        <v>84</v>
      </c>
    </row>
    <row r="17" spans="1:11" ht="32.25" thickBot="1" x14ac:dyDescent="0.3">
      <c r="A17" s="20"/>
      <c r="B17" s="12" t="s">
        <v>64</v>
      </c>
      <c r="C17" s="20"/>
      <c r="D17" s="11" t="s">
        <v>135</v>
      </c>
      <c r="E17" s="11"/>
      <c r="F17" s="21">
        <f>195.2*0.2*1.036</f>
        <v>40.445439999999998</v>
      </c>
      <c r="I17" s="52" t="s">
        <v>42</v>
      </c>
      <c r="J17" s="53" t="s">
        <v>85</v>
      </c>
      <c r="K17" s="53" t="s">
        <v>86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 t="s">
        <v>87</v>
      </c>
      <c r="J18" s="53" t="s">
        <v>88</v>
      </c>
      <c r="K18" s="53" t="s">
        <v>89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64</v>
      </c>
      <c r="C22" s="20"/>
      <c r="D22" s="11" t="s">
        <v>136</v>
      </c>
      <c r="E22" s="11"/>
      <c r="F22" s="21">
        <f>195.2*0.1*1.022</f>
        <v>19.949439999999999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205.06821887999999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205.06821887999999</v>
      </c>
      <c r="E29" s="28">
        <v>4.0000000000000002E-4</v>
      </c>
      <c r="F29" s="21">
        <f>E29*F26</f>
        <v>8.2027287552000006E-2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205.06821887999999</v>
      </c>
      <c r="E33" s="27">
        <v>2.1000000000000001E-2</v>
      </c>
      <c r="F33" s="21">
        <f>E33*F26</f>
        <v>4.3064325964799997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205.06821887999999</v>
      </c>
      <c r="E34" s="27">
        <v>0.03</v>
      </c>
      <c r="F34" s="21">
        <f>E34*F26</f>
        <v>6.1520465663999993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215.60872533043198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191.24493936809316</v>
      </c>
      <c r="D43" s="38">
        <v>7.18</v>
      </c>
      <c r="E43" s="36">
        <f>C43*D43</f>
        <v>1373.1386646629087</v>
      </c>
      <c r="F43" s="36">
        <f>E43*1.09</f>
        <v>1496.7211444825705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1.07804362665216</v>
      </c>
      <c r="D45" s="38">
        <v>20.07</v>
      </c>
      <c r="E45" s="36">
        <f>C45*D45</f>
        <v>21.636335586908853</v>
      </c>
      <c r="F45" s="39">
        <f>E45*1.09</f>
        <v>23.583605789730651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23.285742335686653</v>
      </c>
      <c r="D47" s="38">
        <v>8.42</v>
      </c>
      <c r="E47" s="36">
        <f>C47*D47</f>
        <v>196.06595046648161</v>
      </c>
      <c r="F47" s="39">
        <f>E47*1.09</f>
        <v>213.71188600846497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215.60872533043195</v>
      </c>
      <c r="D49" s="42"/>
      <c r="E49" s="43">
        <f>E43+E45+E47</f>
        <v>1590.8409507162992</v>
      </c>
      <c r="F49" s="44">
        <f>F43+F45+F47</f>
        <v>1734.0166362807661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1734.0166362807661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1" workbookViewId="0">
      <selection activeCell="B29" sqref="B29:F34"/>
    </sheetView>
  </sheetViews>
  <sheetFormatPr defaultRowHeight="15" x14ac:dyDescent="0.25"/>
  <cols>
    <col min="1" max="1" width="5.140625" customWidth="1"/>
    <col min="2" max="2" width="40.140625" customWidth="1"/>
    <col min="3" max="3" width="27.7109375" customWidth="1"/>
    <col min="4" max="4" width="12.5703125" customWidth="1"/>
    <col min="5" max="5" width="13.2851562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67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68</v>
      </c>
      <c r="C12" s="56" t="s">
        <v>50</v>
      </c>
      <c r="D12" s="11" t="s">
        <v>138</v>
      </c>
      <c r="E12" s="11"/>
      <c r="F12" s="21">
        <f>211.1*0.7*1.036*1.022</f>
        <v>156.45769383999999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24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 t="s">
        <v>81</v>
      </c>
      <c r="J15" s="223"/>
      <c r="K15" s="224"/>
    </row>
    <row r="16" spans="1:11" ht="32.2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 t="s">
        <v>93</v>
      </c>
      <c r="J16" s="53" t="s">
        <v>83</v>
      </c>
      <c r="K16" s="53" t="s">
        <v>84</v>
      </c>
    </row>
    <row r="17" spans="1:11" ht="32.25" thickBot="1" x14ac:dyDescent="0.3">
      <c r="A17" s="20"/>
      <c r="B17" s="12" t="s">
        <v>68</v>
      </c>
      <c r="C17" s="20"/>
      <c r="D17" s="11" t="s">
        <v>139</v>
      </c>
      <c r="E17" s="11"/>
      <c r="F17" s="21">
        <f>211.1*0.2*1.036</f>
        <v>43.739919999999998</v>
      </c>
      <c r="I17" s="52" t="s">
        <v>94</v>
      </c>
      <c r="J17" s="53" t="s">
        <v>95</v>
      </c>
      <c r="K17" s="53" t="s">
        <v>86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 t="s">
        <v>87</v>
      </c>
      <c r="J18" s="53" t="s">
        <v>88</v>
      </c>
      <c r="K18" s="53" t="s">
        <v>89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75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68</v>
      </c>
      <c r="C22" s="20"/>
      <c r="D22" s="11" t="s">
        <v>140</v>
      </c>
      <c r="E22" s="11"/>
      <c r="F22" s="21">
        <f>211.1*0.1*1.022</f>
        <v>21.57442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75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221.77203384000001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221.77203384000001</v>
      </c>
      <c r="E29" s="28">
        <v>4.0000000000000002E-4</v>
      </c>
      <c r="F29" s="21">
        <f>E29*F26</f>
        <v>8.8708813536000006E-2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221.77203384000001</v>
      </c>
      <c r="E33" s="27">
        <v>2.1000000000000001E-2</v>
      </c>
      <c r="F33" s="21">
        <f>E33*F26</f>
        <v>4.6572127106400005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221.77203384000001</v>
      </c>
      <c r="E34" s="27">
        <v>0.03</v>
      </c>
      <c r="F34" s="21">
        <f>E34*F26</f>
        <v>6.6531610152000003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233.171116379376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206.8227802285065</v>
      </c>
      <c r="D43" s="38">
        <v>7.18</v>
      </c>
      <c r="E43" s="36">
        <f>C43*D43</f>
        <v>1484.9875620406767</v>
      </c>
      <c r="F43" s="36">
        <f>E43*1.09</f>
        <v>1618.6364426243376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1.1658555818968801</v>
      </c>
      <c r="D45" s="38">
        <v>20.07</v>
      </c>
      <c r="E45" s="36">
        <f>D45*C45</f>
        <v>23.398721528670382</v>
      </c>
      <c r="F45" s="39">
        <f>E45*1.09</f>
        <v>25.504606466250717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25.182480568972608</v>
      </c>
      <c r="D47" s="38">
        <v>8.42</v>
      </c>
      <c r="E47" s="36">
        <f>C47*D47</f>
        <v>212.03648639074936</v>
      </c>
      <c r="F47" s="39">
        <f>E47*1.09</f>
        <v>231.11977016591683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C43+C90+C47</f>
        <v>232.00526079747911</v>
      </c>
      <c r="D49" s="42"/>
      <c r="E49" s="43">
        <f>E43+E90+E47</f>
        <v>1697.0240484314261</v>
      </c>
      <c r="F49" s="44">
        <f>F43+F45+F47</f>
        <v>1875.2608192565051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1875.2608192565051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I31" sqref="I31"/>
    </sheetView>
  </sheetViews>
  <sheetFormatPr defaultRowHeight="15" x14ac:dyDescent="0.25"/>
  <cols>
    <col min="1" max="1" width="4.7109375" customWidth="1"/>
    <col min="2" max="2" width="40.140625" customWidth="1"/>
    <col min="3" max="3" width="27.7109375" customWidth="1"/>
    <col min="4" max="4" width="12.5703125" customWidth="1"/>
    <col min="5" max="5" width="13.4257812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71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72</v>
      </c>
      <c r="C12" s="56" t="s">
        <v>50</v>
      </c>
      <c r="D12" s="11" t="s">
        <v>141</v>
      </c>
      <c r="E12" s="11"/>
      <c r="F12" s="21">
        <f>225.1*0.7*1.036*1.022</f>
        <v>166.83385543999998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24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 t="s">
        <v>81</v>
      </c>
      <c r="J15" s="223"/>
      <c r="K15" s="224"/>
    </row>
    <row r="16" spans="1:11" ht="32.2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 t="s">
        <v>82</v>
      </c>
      <c r="J16" s="53" t="s">
        <v>83</v>
      </c>
      <c r="K16" s="53" t="s">
        <v>84</v>
      </c>
    </row>
    <row r="17" spans="1:11" ht="32.25" thickBot="1" x14ac:dyDescent="0.3">
      <c r="A17" s="20"/>
      <c r="B17" s="12" t="s">
        <v>72</v>
      </c>
      <c r="C17" s="20"/>
      <c r="D17" s="11" t="s">
        <v>142</v>
      </c>
      <c r="E17" s="11"/>
      <c r="F17" s="21">
        <f>225.1*0.2*1.036</f>
        <v>46.640720000000002</v>
      </c>
      <c r="I17" s="52" t="s">
        <v>42</v>
      </c>
      <c r="J17" s="53" t="s">
        <v>85</v>
      </c>
      <c r="K17" s="53" t="s">
        <v>86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 t="s">
        <v>87</v>
      </c>
      <c r="J18" s="53" t="s">
        <v>88</v>
      </c>
      <c r="K18" s="53" t="s">
        <v>89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75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72</v>
      </c>
      <c r="C22" s="20"/>
      <c r="D22" s="11" t="s">
        <v>143</v>
      </c>
      <c r="E22" s="11"/>
      <c r="F22" s="21">
        <f>225.1*0.1*1.022</f>
        <v>23.005220000000001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75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236.47979543999998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236.47979543999998</v>
      </c>
      <c r="E29" s="28">
        <v>4.0000000000000002E-4</v>
      </c>
      <c r="F29" s="21">
        <f>E29*F26</f>
        <v>9.4591918175999989E-2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236.47979543999998</v>
      </c>
      <c r="E33" s="27">
        <v>2.1000000000000001E-2</v>
      </c>
      <c r="F33" s="21">
        <f>E33*F26</f>
        <v>4.9660757042399997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236.47979543999998</v>
      </c>
      <c r="E34" s="27">
        <v>0.03</v>
      </c>
      <c r="F34" s="21">
        <f>E34*F26</f>
        <v>7.0943938631999988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248.63485692561599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220.53911809302139</v>
      </c>
      <c r="D43" s="38">
        <v>7.18</v>
      </c>
      <c r="E43" s="36">
        <f>C43*D43</f>
        <v>1583.4708679078935</v>
      </c>
      <c r="F43" s="36">
        <f>E43*1.09</f>
        <v>1725.9832460196042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1.24317428462808</v>
      </c>
      <c r="D45" s="38">
        <v>20.07</v>
      </c>
      <c r="E45" s="36">
        <f>D45*C45</f>
        <v>24.950507892485565</v>
      </c>
      <c r="F45" s="39">
        <f>E45*1.09</f>
        <v>27.196053602809268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26.852564547966526</v>
      </c>
      <c r="D47" s="38">
        <v>8.42</v>
      </c>
      <c r="E47" s="36">
        <f>C47*D47</f>
        <v>226.09859349387816</v>
      </c>
      <c r="F47" s="39">
        <f>E47*1.09</f>
        <v>246.44746690832721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C43+C115+C47</f>
        <v>247.39168264098791</v>
      </c>
      <c r="D49" s="42"/>
      <c r="E49" s="43">
        <f>E43+E115+E47</f>
        <v>1809.5694614017716</v>
      </c>
      <c r="F49" s="44">
        <f>F43+F45+F47</f>
        <v>1999.6267665307407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1999.6267665307407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B29" sqref="B29:F34"/>
    </sheetView>
  </sheetViews>
  <sheetFormatPr defaultRowHeight="15" x14ac:dyDescent="0.25"/>
  <cols>
    <col min="1" max="1" width="4.7109375" customWidth="1"/>
    <col min="2" max="2" width="40.140625" customWidth="1"/>
    <col min="3" max="3" width="27.7109375" customWidth="1"/>
    <col min="4" max="4" width="12.5703125" customWidth="1"/>
    <col min="5" max="5" width="12.14062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103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98</v>
      </c>
      <c r="C12" s="56" t="s">
        <v>50</v>
      </c>
      <c r="D12" s="11" t="s">
        <v>144</v>
      </c>
      <c r="E12" s="11"/>
      <c r="F12" s="21">
        <f>250.7*0.7*1.036*1.022</f>
        <v>185.80740807999999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24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 t="s">
        <v>81</v>
      </c>
      <c r="J15" s="223"/>
      <c r="K15" s="224"/>
    </row>
    <row r="16" spans="1:11" ht="32.2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 t="s">
        <v>82</v>
      </c>
      <c r="J16" s="53" t="s">
        <v>83</v>
      </c>
      <c r="K16" s="53" t="s">
        <v>84</v>
      </c>
    </row>
    <row r="17" spans="1:11" ht="32.25" thickBot="1" x14ac:dyDescent="0.3">
      <c r="A17" s="20"/>
      <c r="B17" s="12" t="s">
        <v>98</v>
      </c>
      <c r="C17" s="20"/>
      <c r="D17" s="11" t="s">
        <v>145</v>
      </c>
      <c r="E17" s="11"/>
      <c r="F17" s="21">
        <f>250.7*0.2*1.036</f>
        <v>51.945039999999999</v>
      </c>
      <c r="I17" s="52" t="s">
        <v>99</v>
      </c>
      <c r="J17" s="53" t="s">
        <v>100</v>
      </c>
      <c r="K17" s="53" t="s">
        <v>101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 t="s">
        <v>87</v>
      </c>
      <c r="J18" s="53" t="s">
        <v>88</v>
      </c>
      <c r="K18" s="53" t="s">
        <v>89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75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98</v>
      </c>
      <c r="C22" s="20"/>
      <c r="D22" s="11" t="s">
        <v>146</v>
      </c>
      <c r="E22" s="11"/>
      <c r="F22" s="21">
        <f>250.7*0.1*1.022</f>
        <v>25.62154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75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263.37398808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263.37398808</v>
      </c>
      <c r="E29" s="28">
        <v>4.0000000000000002E-4</v>
      </c>
      <c r="F29" s="21">
        <f>E29*F26</f>
        <v>0.10534959523200001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263.37398808</v>
      </c>
      <c r="E33" s="27">
        <v>2.1000000000000001E-2</v>
      </c>
      <c r="F33" s="21">
        <f>E33*F26</f>
        <v>5.5308537496800003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263.37398808</v>
      </c>
      <c r="E34" s="27">
        <v>0.03</v>
      </c>
      <c r="F34" s="21">
        <f>E34*F26</f>
        <v>7.9012196424000001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276.91141106731197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245.62042161670573</v>
      </c>
      <c r="D43" s="38">
        <v>7.18</v>
      </c>
      <c r="E43" s="36">
        <f>C43*D43</f>
        <v>1763.5546272079471</v>
      </c>
      <c r="F43" s="36">
        <f>E43*1.09</f>
        <v>1922.2745436566624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1.3845570553365598</v>
      </c>
      <c r="D45" s="38">
        <v>20.07</v>
      </c>
      <c r="E45" s="36">
        <f>C45*D45</f>
        <v>27.788060100604756</v>
      </c>
      <c r="F45" s="39">
        <f>E45*1.09</f>
        <v>30.288985509659188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29.906432395269693</v>
      </c>
      <c r="D47" s="38">
        <v>8.42</v>
      </c>
      <c r="E47" s="36">
        <f>C47*D47</f>
        <v>251.81216076817083</v>
      </c>
      <c r="F47" s="39">
        <f>E47*1.09</f>
        <v>274.47525523730621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C43+C145+C47</f>
        <v>275.52685401197544</v>
      </c>
      <c r="D49" s="42"/>
      <c r="E49" s="43">
        <f>E43+E145+E47</f>
        <v>2015.3667879761178</v>
      </c>
      <c r="F49" s="44">
        <f>F43+F45+F47</f>
        <v>2227.0387844036277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2227.0387844036277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G42" sqref="G42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3.2851562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114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115</v>
      </c>
      <c r="C12" s="56" t="s">
        <v>50</v>
      </c>
      <c r="D12" s="11" t="s">
        <v>147</v>
      </c>
      <c r="E12" s="11"/>
      <c r="F12" s="21">
        <f>265.4*0.7*1.036*1.022</f>
        <v>196.70237775999999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24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 t="s">
        <v>81</v>
      </c>
      <c r="J15" s="223"/>
      <c r="K15" s="224"/>
    </row>
    <row r="16" spans="1:11" ht="32.2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 t="s">
        <v>82</v>
      </c>
      <c r="J16" s="53" t="s">
        <v>83</v>
      </c>
      <c r="K16" s="53" t="s">
        <v>84</v>
      </c>
    </row>
    <row r="17" spans="1:11" ht="39.75" customHeight="1" thickBot="1" x14ac:dyDescent="0.3">
      <c r="A17" s="20"/>
      <c r="B17" s="12" t="s">
        <v>115</v>
      </c>
      <c r="C17" s="20"/>
      <c r="D17" s="11" t="s">
        <v>148</v>
      </c>
      <c r="E17" s="11"/>
      <c r="F17" s="21">
        <f>265.4*0.2*1.036</f>
        <v>54.990879999999997</v>
      </c>
      <c r="I17" s="52" t="s">
        <v>104</v>
      </c>
      <c r="J17" s="53" t="s">
        <v>105</v>
      </c>
      <c r="K17" s="53" t="s">
        <v>106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 t="s">
        <v>87</v>
      </c>
      <c r="J18" s="53" t="s">
        <v>88</v>
      </c>
      <c r="K18" s="53" t="s">
        <v>89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75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115</v>
      </c>
      <c r="C22" s="20"/>
      <c r="D22" s="11" t="s">
        <v>149</v>
      </c>
      <c r="E22" s="11"/>
      <c r="F22" s="21">
        <f>265.4*0.1*1.022</f>
        <v>27.12388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75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278.81713775999998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278.81713775999998</v>
      </c>
      <c r="E29" s="28">
        <v>4.0000000000000002E-4</v>
      </c>
      <c r="F29" s="21">
        <f>E29*F26</f>
        <v>0.111526855104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278.81713775999998</v>
      </c>
      <c r="E33" s="27">
        <v>2.1000000000000001E-2</v>
      </c>
      <c r="F33" s="21">
        <f>E33*F26</f>
        <v>5.8551598929599997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278.81713775999998</v>
      </c>
      <c r="E34" s="27">
        <v>0.03</v>
      </c>
      <c r="F34" s="21">
        <f>E34*F26</f>
        <v>8.3645141327999983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293.14833864086398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260.02257637444637</v>
      </c>
      <c r="D43" s="38">
        <v>7.18</v>
      </c>
      <c r="E43" s="36">
        <f>C43*D43</f>
        <v>1866.9620983685249</v>
      </c>
      <c r="F43" s="36">
        <f>E43*1.09</f>
        <v>2034.9886872216923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1.4657416932043199</v>
      </c>
      <c r="D45" s="38">
        <v>20.07</v>
      </c>
      <c r="E45" s="36">
        <f>C45*D45</f>
        <v>29.417435782610703</v>
      </c>
      <c r="F45" s="39">
        <f>E45*1.09</f>
        <v>32.06500500304567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31.660020573213309</v>
      </c>
      <c r="D47" s="38">
        <v>8.42</v>
      </c>
      <c r="E47" s="36">
        <f>C47*D47</f>
        <v>266.57737322645607</v>
      </c>
      <c r="F47" s="39">
        <f>E47*1.09</f>
        <v>290.56933681683716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293.14833864086404</v>
      </c>
      <c r="D49" s="42"/>
      <c r="E49" s="43">
        <f>E43+E45+E47</f>
        <v>2162.956907377592</v>
      </c>
      <c r="F49" s="44">
        <f>F43+F45+F47</f>
        <v>2357.6230290415751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2357.6230290415751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B29" sqref="B29:F34"/>
    </sheetView>
  </sheetViews>
  <sheetFormatPr defaultRowHeight="15" x14ac:dyDescent="0.25"/>
  <cols>
    <col min="1" max="1" width="4.7109375" customWidth="1"/>
    <col min="2" max="2" width="40.140625" customWidth="1"/>
    <col min="3" max="3" width="27.7109375" customWidth="1"/>
    <col min="4" max="5" width="12.570312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111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91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112</v>
      </c>
      <c r="C12" s="56" t="s">
        <v>50</v>
      </c>
      <c r="D12" s="11" t="s">
        <v>150</v>
      </c>
      <c r="E12" s="11"/>
      <c r="F12" s="21">
        <f>336.1*0.7*1.036*1.022</f>
        <v>249.10199384000001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24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2"/>
      <c r="J15" s="223"/>
      <c r="K15" s="224"/>
    </row>
    <row r="16" spans="1:11" ht="16.5" thickBot="1" x14ac:dyDescent="0.3">
      <c r="A16" s="19">
        <v>3</v>
      </c>
      <c r="B16" s="12" t="s">
        <v>91</v>
      </c>
      <c r="C16" s="19" t="s">
        <v>48</v>
      </c>
      <c r="D16" s="5"/>
      <c r="E16" s="5"/>
      <c r="F16" s="23"/>
      <c r="H16" s="74"/>
      <c r="I16" s="52"/>
      <c r="J16" s="53"/>
      <c r="K16" s="53"/>
    </row>
    <row r="17" spans="1:11" ht="39.75" customHeight="1" thickBot="1" x14ac:dyDescent="0.3">
      <c r="A17" s="20"/>
      <c r="B17" s="12" t="s">
        <v>112</v>
      </c>
      <c r="C17" s="20"/>
      <c r="D17" s="11" t="s">
        <v>151</v>
      </c>
      <c r="E17" s="11"/>
      <c r="F17" s="21">
        <f>336.1*0.2*1.036</f>
        <v>69.639920000000018</v>
      </c>
      <c r="I17" s="52"/>
      <c r="J17" s="53"/>
      <c r="K17" s="53"/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52"/>
      <c r="J18" s="53"/>
      <c r="K18" s="53"/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75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91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112</v>
      </c>
      <c r="C22" s="20"/>
      <c r="D22" s="11" t="s">
        <v>152</v>
      </c>
      <c r="E22" s="11"/>
      <c r="F22" s="21">
        <f>336.1*0.1*1.022</f>
        <v>34.349420000000009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75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353.09133384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353.09133384</v>
      </c>
      <c r="E29" s="28">
        <v>4.0000000000000002E-4</v>
      </c>
      <c r="F29" s="21">
        <f>E29*F26</f>
        <v>0.14123653353600002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353.09133384</v>
      </c>
      <c r="E33" s="27">
        <v>2.1000000000000001E-2</v>
      </c>
      <c r="F33" s="21">
        <f>E33*F26</f>
        <v>7.4149180106400001</v>
      </c>
    </row>
    <row r="34" spans="1:6" x14ac:dyDescent="0.25">
      <c r="A34" s="9"/>
      <c r="B34" s="20" t="s">
        <v>15</v>
      </c>
      <c r="C34" s="11" t="s">
        <v>49</v>
      </c>
      <c r="D34" s="26">
        <f>F26</f>
        <v>353.09133384</v>
      </c>
      <c r="E34" s="27">
        <v>0.03</v>
      </c>
      <c r="F34" s="21">
        <f>E34*F26</f>
        <v>10.5927400152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371.24022839937601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329.29008259024653</v>
      </c>
      <c r="D43" s="38">
        <v>7.18</v>
      </c>
      <c r="E43" s="36">
        <f>C43*D43</f>
        <v>2364.3027929979698</v>
      </c>
      <c r="F43" s="36">
        <f>E43*1.09</f>
        <v>2577.0900443677874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1.85620114199688</v>
      </c>
      <c r="D45" s="38">
        <v>20.07</v>
      </c>
      <c r="E45" s="36">
        <f>C45*D45</f>
        <v>37.253956919877382</v>
      </c>
      <c r="F45" s="39">
        <f>E45*1.09</f>
        <v>40.606813042666346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40.093944667132611</v>
      </c>
      <c r="D47" s="38">
        <v>8.42</v>
      </c>
      <c r="E47" s="36">
        <f>C47*D47</f>
        <v>337.59101409725656</v>
      </c>
      <c r="F47" s="39">
        <f>E47*1.09</f>
        <v>367.9742053660097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371.24022839937606</v>
      </c>
      <c r="D49" s="42"/>
      <c r="E49" s="43">
        <f>E43+E45+E47</f>
        <v>2739.1477640151038</v>
      </c>
      <c r="F49" s="44">
        <f>F43+F45+F47</f>
        <v>2985.6710627764637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2985.6710627764637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63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64</v>
      </c>
      <c r="C12" s="56" t="s">
        <v>50</v>
      </c>
      <c r="D12" s="11" t="s">
        <v>193</v>
      </c>
      <c r="E12" s="11"/>
      <c r="F12" s="21">
        <f>288.1*0.7*1.036*1.022</f>
        <v>213.52658264000002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64</v>
      </c>
      <c r="C17" s="20"/>
      <c r="D17" s="11" t="s">
        <v>194</v>
      </c>
      <c r="E17" s="11"/>
      <c r="F17" s="21">
        <f>288.1*0.2*1.036</f>
        <v>59.694320000000005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64</v>
      </c>
      <c r="C22" s="20"/>
      <c r="D22" s="11" t="s">
        <v>195</v>
      </c>
      <c r="E22" s="11"/>
      <c r="F22" s="21">
        <f>288.1*0.1*1.022</f>
        <v>29.443820000000002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302.66472264000004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302.66472264000004</v>
      </c>
      <c r="E29" s="28">
        <v>4.0000000000000002E-4</v>
      </c>
      <c r="F29" s="21">
        <f>E29*F26</f>
        <v>0.12106588905600002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302.66472264000004</v>
      </c>
      <c r="E33" s="27">
        <v>2.1000000000000001E-2</v>
      </c>
      <c r="F33" s="21">
        <f>E33*F26</f>
        <v>6.3559591754400016</v>
      </c>
    </row>
    <row r="34" spans="1:6" x14ac:dyDescent="0.25">
      <c r="A34" s="9"/>
      <c r="B34" s="20" t="s">
        <v>15</v>
      </c>
      <c r="C34" s="11" t="s">
        <v>49</v>
      </c>
      <c r="D34" s="26">
        <f>F26</f>
        <v>302.66472264000004</v>
      </c>
      <c r="E34" s="27">
        <v>0.03</v>
      </c>
      <c r="F34" s="21">
        <f>E34*F26</f>
        <v>9.0799416792000009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318.221689383696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282.26263848333838</v>
      </c>
      <c r="D43" s="38">
        <v>7.18</v>
      </c>
      <c r="E43" s="36">
        <f>C43*D43</f>
        <v>2026.6457443103695</v>
      </c>
      <c r="F43" s="36">
        <f>E43*1.09</f>
        <v>2209.043861298303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1.59110844691848</v>
      </c>
      <c r="D45" s="38">
        <v>20.07</v>
      </c>
      <c r="E45" s="36">
        <f>C45*D45</f>
        <v>31.933546529653892</v>
      </c>
      <c r="F45" s="39">
        <f>E45*1.09</f>
        <v>34.807565717322746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34.36794245343917</v>
      </c>
      <c r="D47" s="38">
        <v>8.42</v>
      </c>
      <c r="E47" s="36">
        <f>C47*D47</f>
        <v>289.37807545795783</v>
      </c>
      <c r="F47" s="39">
        <f>E47*1.09</f>
        <v>315.42210224917409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318.22168938369606</v>
      </c>
      <c r="D49" s="42"/>
      <c r="E49" s="43">
        <f>E43+E45+E47</f>
        <v>2347.9573662979815</v>
      </c>
      <c r="F49" s="44">
        <f>F43+F45+F47</f>
        <v>2559.2735292647999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2559.2735292647999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:E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78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'3.1'!F50*1000</f>
        <v>1545691.0589797818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218627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5:E5"/>
    <mergeCell ref="A3:E3"/>
    <mergeCell ref="A4:E4"/>
  </mergeCells>
  <phoneticPr fontId="0" type="noConversion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5"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67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68</v>
      </c>
      <c r="C12" s="56" t="s">
        <v>50</v>
      </c>
      <c r="D12" s="11" t="s">
        <v>196</v>
      </c>
      <c r="E12" s="11"/>
      <c r="F12" s="21">
        <f>363.1*0.7*1.036*1.022</f>
        <v>269.11316263999998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68</v>
      </c>
      <c r="C17" s="20"/>
      <c r="D17" s="11" t="s">
        <v>197</v>
      </c>
      <c r="E17" s="11"/>
      <c r="F17" s="21">
        <f>363.1*0.2*1.036</f>
        <v>75.234320000000011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68</v>
      </c>
      <c r="C22" s="20"/>
      <c r="D22" s="11" t="s">
        <v>198</v>
      </c>
      <c r="E22" s="11"/>
      <c r="F22" s="21">
        <f>363.1*0.1*1.022</f>
        <v>37.108820000000001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381.45630263999999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381.45630263999999</v>
      </c>
      <c r="E29" s="28">
        <v>4.0000000000000002E-4</v>
      </c>
      <c r="F29" s="21">
        <f>E29*F26</f>
        <v>0.15258252105600001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381.45630263999999</v>
      </c>
      <c r="E33" s="27">
        <v>2.1000000000000001E-2</v>
      </c>
      <c r="F33" s="21">
        <f>E33*F26</f>
        <v>8.0105823554400004</v>
      </c>
    </row>
    <row r="34" spans="1:6" x14ac:dyDescent="0.25">
      <c r="A34" s="9"/>
      <c r="B34" s="20" t="s">
        <v>15</v>
      </c>
      <c r="C34" s="11" t="s">
        <v>49</v>
      </c>
      <c r="D34" s="26">
        <f>F26</f>
        <v>381.45630263999999</v>
      </c>
      <c r="E34" s="27">
        <v>0.03</v>
      </c>
      <c r="F34" s="21">
        <f>E34*F26</f>
        <v>11.443689079199999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401.063156595696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355.74301990038236</v>
      </c>
      <c r="D43" s="38">
        <v>7.18</v>
      </c>
      <c r="E43" s="36">
        <f>C43*D43</f>
        <v>2554.2348828847453</v>
      </c>
      <c r="F43" s="36">
        <f>E43*1.09</f>
        <v>2784.1160223443726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2.0053157829784802</v>
      </c>
      <c r="D45" s="38">
        <v>20.07</v>
      </c>
      <c r="E45" s="36">
        <f>C45*D45</f>
        <v>40.246687764378102</v>
      </c>
      <c r="F45" s="39">
        <f>E45*1.09</f>
        <v>43.868889663172133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43.314820912335165</v>
      </c>
      <c r="D47" s="38">
        <v>8.42</v>
      </c>
      <c r="E47" s="36">
        <f>C47*D47</f>
        <v>364.71079208186211</v>
      </c>
      <c r="F47" s="39">
        <f>E47*1.09</f>
        <v>397.53476336922972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401.063156595696</v>
      </c>
      <c r="D49" s="42"/>
      <c r="E49" s="43">
        <f>E43+E45+E47</f>
        <v>2959.1923627309857</v>
      </c>
      <c r="F49" s="44">
        <f>F43+F45+F47</f>
        <v>3225.5196753767741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3225.5196753767741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71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72</v>
      </c>
      <c r="C12" s="56" t="s">
        <v>50</v>
      </c>
      <c r="D12" s="11" t="s">
        <v>199</v>
      </c>
      <c r="E12" s="11"/>
      <c r="F12" s="21">
        <f>427.4*0.7*1.036*1.022</f>
        <v>316.76939055999998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72</v>
      </c>
      <c r="C17" s="20"/>
      <c r="D17" s="11" t="s">
        <v>200</v>
      </c>
      <c r="E17" s="11"/>
      <c r="F17" s="21">
        <f>427.4*0.2*1.036</f>
        <v>88.557280000000006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72</v>
      </c>
      <c r="C22" s="20"/>
      <c r="D22" s="11" t="s">
        <v>201</v>
      </c>
      <c r="E22" s="11"/>
      <c r="F22" s="21">
        <f>427.4*0.1*1.022</f>
        <v>43.680280000000003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449.00695055999995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449.00695055999995</v>
      </c>
      <c r="E29" s="28">
        <v>4.0000000000000002E-4</v>
      </c>
      <c r="F29" s="21">
        <f>E29*F26</f>
        <v>0.17960278022399997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449.00695055999995</v>
      </c>
      <c r="E33" s="27">
        <v>2.1000000000000001E-2</v>
      </c>
      <c r="F33" s="21">
        <f>E33*F26</f>
        <v>9.4291459617599998</v>
      </c>
    </row>
    <row r="34" spans="1:6" x14ac:dyDescent="0.25">
      <c r="A34" s="9"/>
      <c r="B34" s="20" t="s">
        <v>15</v>
      </c>
      <c r="C34" s="11" t="s">
        <v>49</v>
      </c>
      <c r="D34" s="26">
        <f>F26</f>
        <v>449.00695055999995</v>
      </c>
      <c r="E34" s="27">
        <v>0.03</v>
      </c>
      <c r="F34" s="21">
        <f>E34*F26</f>
        <v>13.470208516799998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472.08590781878394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418.74020023526134</v>
      </c>
      <c r="D43" s="38">
        <v>7.18</v>
      </c>
      <c r="E43" s="36">
        <f>C43*D43</f>
        <v>3006.5546376891762</v>
      </c>
      <c r="F43" s="36">
        <f>E43*1.09</f>
        <v>3277.1445550812023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2.3604295390939196</v>
      </c>
      <c r="D45" s="38">
        <v>20.07</v>
      </c>
      <c r="E45" s="36">
        <f>C45*D45</f>
        <v>47.373820849614965</v>
      </c>
      <c r="F45" s="39">
        <f>E45*1.09</f>
        <v>51.637464726080317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50.985278044428668</v>
      </c>
      <c r="D47" s="38">
        <v>8.42</v>
      </c>
      <c r="E47" s="36">
        <f>C47*D47</f>
        <v>429.29604113408936</v>
      </c>
      <c r="F47" s="39">
        <f>E47*1.09</f>
        <v>467.93268483615742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472.08590781878388</v>
      </c>
      <c r="D49" s="42"/>
      <c r="E49" s="43">
        <f>E43+E45+E47</f>
        <v>3483.2244996728805</v>
      </c>
      <c r="F49" s="44">
        <f>F43+F45+F47</f>
        <v>3796.7147046434402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3796.7147046434402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5"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103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98</v>
      </c>
      <c r="C12" s="56" t="s">
        <v>50</v>
      </c>
      <c r="D12" s="11" t="s">
        <v>202</v>
      </c>
      <c r="E12" s="11"/>
      <c r="F12" s="21">
        <f>474.2*0.7*1.036*1.022</f>
        <v>351.45541648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98</v>
      </c>
      <c r="C17" s="20"/>
      <c r="D17" s="11" t="s">
        <v>203</v>
      </c>
      <c r="E17" s="11"/>
      <c r="F17" s="21">
        <f>474.2*0.2*1.036</f>
        <v>98.25424000000001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98</v>
      </c>
      <c r="C22" s="20"/>
      <c r="D22" s="11" t="s">
        <v>204</v>
      </c>
      <c r="E22" s="11"/>
      <c r="F22" s="21">
        <f>474.2*0.1*1.022</f>
        <v>48.463240000000006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498.17289647999996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498.17289647999996</v>
      </c>
      <c r="E29" s="28">
        <v>4.0000000000000002E-4</v>
      </c>
      <c r="F29" s="21">
        <f>E29*F26</f>
        <v>0.19926915859200001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498.17289647999996</v>
      </c>
      <c r="E33" s="27">
        <v>2.1000000000000001E-2</v>
      </c>
      <c r="F33" s="21">
        <f>E33*F26</f>
        <v>10.46163082608</v>
      </c>
    </row>
    <row r="34" spans="1:6" x14ac:dyDescent="0.25">
      <c r="A34" s="9"/>
      <c r="B34" s="20" t="s">
        <v>15</v>
      </c>
      <c r="C34" s="11" t="s">
        <v>49</v>
      </c>
      <c r="D34" s="26">
        <f>F26</f>
        <v>498.17289647999996</v>
      </c>
      <c r="E34" s="27">
        <v>0.03</v>
      </c>
      <c r="F34" s="21">
        <f>E34*F26</f>
        <v>14.945186894399999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523.77898335907196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464.59195823949682</v>
      </c>
      <c r="D43" s="38">
        <v>7.18</v>
      </c>
      <c r="E43" s="36">
        <f>C43*D43</f>
        <v>3335.770260159587</v>
      </c>
      <c r="F43" s="36">
        <f>E43*1.09</f>
        <v>3635.9895835739503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2.6188949167953597</v>
      </c>
      <c r="D45" s="38">
        <v>20.07</v>
      </c>
      <c r="E45" s="36">
        <f>C45*D45</f>
        <v>52.561220980082872</v>
      </c>
      <c r="F45" s="39">
        <f>E45*1.09</f>
        <v>57.291730868290337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56.56813020277977</v>
      </c>
      <c r="D47" s="38">
        <v>8.42</v>
      </c>
      <c r="E47" s="36">
        <f>C47*D47</f>
        <v>476.30365630740567</v>
      </c>
      <c r="F47" s="39">
        <f>E47*1.09</f>
        <v>519.17098537507218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523.77898335907196</v>
      </c>
      <c r="D49" s="42"/>
      <c r="E49" s="43">
        <f>E43+E45+E47</f>
        <v>3864.6351374470755</v>
      </c>
      <c r="F49" s="44">
        <f>F43+F45+F47</f>
        <v>4212.4522998173125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4212.4522998173125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114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115</v>
      </c>
      <c r="C12" s="56" t="s">
        <v>50</v>
      </c>
      <c r="D12" s="11" t="s">
        <v>205</v>
      </c>
      <c r="E12" s="11"/>
      <c r="F12" s="21">
        <f>522.4*0.7*1.036*1.022</f>
        <v>387.17905855999999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115</v>
      </c>
      <c r="C17" s="20"/>
      <c r="D17" s="11" t="s">
        <v>206</v>
      </c>
      <c r="E17" s="11"/>
      <c r="F17" s="21">
        <f>522.4*0.2*1.036</f>
        <v>108.24128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115</v>
      </c>
      <c r="C22" s="20"/>
      <c r="D22" s="11" t="s">
        <v>207</v>
      </c>
      <c r="E22" s="11"/>
      <c r="F22" s="21">
        <f>522.4*0.1*1.022</f>
        <v>53.389280000000007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548.80961855999999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548.80961855999999</v>
      </c>
      <c r="E29" s="28">
        <v>4.0000000000000002E-4</v>
      </c>
      <c r="F29" s="21">
        <f>E29*F26</f>
        <v>0.219523847424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548.80961855999999</v>
      </c>
      <c r="E33" s="27">
        <v>2.1000000000000001E-2</v>
      </c>
      <c r="F33" s="21">
        <f>E33*F26</f>
        <v>11.52500198976</v>
      </c>
    </row>
    <row r="34" spans="1:6" x14ac:dyDescent="0.25">
      <c r="A34" s="9"/>
      <c r="B34" s="20" t="s">
        <v>15</v>
      </c>
      <c r="C34" s="11" t="s">
        <v>49</v>
      </c>
      <c r="D34" s="26">
        <f>F26</f>
        <v>548.80961855999999</v>
      </c>
      <c r="E34" s="27">
        <v>0.03</v>
      </c>
      <c r="F34" s="21">
        <f>E34*F26</f>
        <v>16.4642885568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577.01843295398385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511.81535003018365</v>
      </c>
      <c r="D43" s="38">
        <v>7.18</v>
      </c>
      <c r="E43" s="36">
        <f>C43*D43</f>
        <v>3674.8342132167186</v>
      </c>
      <c r="F43" s="36">
        <f>E43*1.09</f>
        <v>4005.5692924062237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2.8850921647699193</v>
      </c>
      <c r="D45" s="38">
        <v>20.07</v>
      </c>
      <c r="E45" s="36">
        <f>C45*D45</f>
        <v>57.903799746932279</v>
      </c>
      <c r="F45" s="39">
        <f>E45*1.09</f>
        <v>63.115141724156189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62.317990759030252</v>
      </c>
      <c r="D47" s="38">
        <v>8.42</v>
      </c>
      <c r="E47" s="36">
        <f>C47*D47</f>
        <v>524.71748219103472</v>
      </c>
      <c r="F47" s="39">
        <f>E47*1.09</f>
        <v>571.94205558822784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577.01843295398385</v>
      </c>
      <c r="D49" s="42"/>
      <c r="E49" s="43">
        <f>E43+E45+E47</f>
        <v>4257.4554951546852</v>
      </c>
      <c r="F49" s="44">
        <f>F43+F45+F47</f>
        <v>4640.6264897186074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4640.6264897186074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workbookViewId="0">
      <selection activeCell="B29" sqref="B29:F34"/>
    </sheetView>
  </sheetViews>
  <sheetFormatPr defaultRowHeight="15" x14ac:dyDescent="0.25"/>
  <cols>
    <col min="1" max="1" width="4.42578125" customWidth="1"/>
    <col min="2" max="2" width="40.140625" customWidth="1"/>
    <col min="3" max="3" width="27.7109375" customWidth="1"/>
    <col min="4" max="4" width="12.5703125" customWidth="1"/>
    <col min="5" max="5" width="14.85546875" customWidth="1"/>
    <col min="6" max="6" width="17" customWidth="1"/>
  </cols>
  <sheetData>
    <row r="1" spans="1:11" x14ac:dyDescent="0.25">
      <c r="A1" s="1" t="s">
        <v>90</v>
      </c>
      <c r="B1" s="2"/>
      <c r="C1" s="2"/>
      <c r="D1" s="2"/>
      <c r="E1" s="2"/>
      <c r="F1" s="2"/>
    </row>
    <row r="2" spans="1:11" x14ac:dyDescent="0.25">
      <c r="A2" s="1"/>
      <c r="B2" s="1" t="s">
        <v>111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192</v>
      </c>
      <c r="C11" s="20" t="s">
        <v>48</v>
      </c>
      <c r="D11" s="11"/>
      <c r="E11" s="11"/>
      <c r="F11" s="20"/>
    </row>
    <row r="12" spans="1:11" ht="34.5" x14ac:dyDescent="0.25">
      <c r="A12" s="20"/>
      <c r="B12" s="12" t="s">
        <v>112</v>
      </c>
      <c r="C12" s="56" t="s">
        <v>50</v>
      </c>
      <c r="D12" s="11" t="s">
        <v>208</v>
      </c>
      <c r="E12" s="11"/>
      <c r="F12" s="21">
        <f>663.3*0.7*1.036*1.022</f>
        <v>491.60771352</v>
      </c>
      <c r="H12" s="72"/>
      <c r="I12" s="73"/>
      <c r="J12" s="73"/>
      <c r="K12" s="73"/>
    </row>
    <row r="13" spans="1:11" ht="23.25" x14ac:dyDescent="0.25">
      <c r="A13" s="20"/>
      <c r="B13" s="12" t="s">
        <v>46</v>
      </c>
      <c r="C13" s="56" t="s">
        <v>109</v>
      </c>
      <c r="D13" s="11"/>
      <c r="E13" s="11"/>
      <c r="F13" s="21"/>
      <c r="H13" s="73"/>
      <c r="I13" s="73"/>
      <c r="J13" s="73"/>
      <c r="K13" s="73"/>
    </row>
    <row r="14" spans="1:11" ht="7.5" customHeight="1" thickBot="1" x14ac:dyDescent="0.3">
      <c r="A14" s="20"/>
      <c r="B14" s="54"/>
      <c r="C14" s="20"/>
      <c r="D14" s="11"/>
      <c r="E14" s="11"/>
      <c r="F14" s="21"/>
      <c r="H14" s="74"/>
      <c r="I14" s="74"/>
      <c r="J14" s="74"/>
      <c r="K14" s="74"/>
    </row>
    <row r="15" spans="1:11" ht="51.75" customHeight="1" thickBot="1" x14ac:dyDescent="0.3">
      <c r="A15" s="15"/>
      <c r="B15" s="55" t="s">
        <v>110</v>
      </c>
      <c r="C15" s="15"/>
      <c r="D15" s="16"/>
      <c r="E15" s="16"/>
      <c r="F15" s="22"/>
      <c r="H15" s="74"/>
      <c r="I15" s="225" t="s">
        <v>185</v>
      </c>
      <c r="J15" s="226"/>
      <c r="K15" s="227"/>
    </row>
    <row r="16" spans="1:11" ht="32.25" thickBot="1" x14ac:dyDescent="0.3">
      <c r="A16" s="19">
        <v>3</v>
      </c>
      <c r="B16" s="12" t="s">
        <v>192</v>
      </c>
      <c r="C16" s="19" t="s">
        <v>48</v>
      </c>
      <c r="D16" s="5"/>
      <c r="E16" s="5"/>
      <c r="F16" s="23"/>
      <c r="H16" s="74"/>
      <c r="I16" s="112" t="s">
        <v>82</v>
      </c>
      <c r="J16" s="113" t="s">
        <v>186</v>
      </c>
      <c r="K16" s="113" t="s">
        <v>187</v>
      </c>
    </row>
    <row r="17" spans="1:11" ht="32.25" thickBot="1" x14ac:dyDescent="0.3">
      <c r="A17" s="20"/>
      <c r="B17" s="12" t="s">
        <v>112</v>
      </c>
      <c r="C17" s="20"/>
      <c r="D17" s="11" t="s">
        <v>209</v>
      </c>
      <c r="E17" s="11"/>
      <c r="F17" s="21">
        <f>663.3*0.2*1.036</f>
        <v>137.43575999999999</v>
      </c>
      <c r="I17" s="112" t="s">
        <v>42</v>
      </c>
      <c r="J17" s="113" t="s">
        <v>188</v>
      </c>
      <c r="K17" s="113" t="s">
        <v>189</v>
      </c>
    </row>
    <row r="18" spans="1:11" ht="35.25" thickBot="1" x14ac:dyDescent="0.3">
      <c r="A18" s="20"/>
      <c r="B18" s="12" t="s">
        <v>46</v>
      </c>
      <c r="C18" s="56" t="s">
        <v>50</v>
      </c>
      <c r="D18" s="11"/>
      <c r="E18" s="11"/>
      <c r="F18" s="21"/>
      <c r="I18" s="112" t="s">
        <v>87</v>
      </c>
      <c r="J18" s="113" t="s">
        <v>190</v>
      </c>
      <c r="K18" s="113" t="s">
        <v>191</v>
      </c>
    </row>
    <row r="19" spans="1:11" x14ac:dyDescent="0.25">
      <c r="A19" s="20"/>
      <c r="B19" s="54"/>
      <c r="C19" s="20"/>
      <c r="D19" s="11"/>
      <c r="E19" s="11"/>
      <c r="F19" s="21"/>
    </row>
    <row r="20" spans="1:11" x14ac:dyDescent="0.25">
      <c r="A20" s="15"/>
      <c r="B20" s="17" t="s">
        <v>116</v>
      </c>
      <c r="C20" s="15"/>
      <c r="D20" s="16"/>
      <c r="E20" s="16"/>
      <c r="F20" s="22"/>
    </row>
    <row r="21" spans="1:11" x14ac:dyDescent="0.25">
      <c r="A21" s="19">
        <v>4</v>
      </c>
      <c r="B21" s="12" t="s">
        <v>192</v>
      </c>
      <c r="C21" s="19" t="s">
        <v>48</v>
      </c>
      <c r="D21" s="5"/>
      <c r="E21" s="5"/>
      <c r="F21" s="23"/>
    </row>
    <row r="22" spans="1:11" x14ac:dyDescent="0.25">
      <c r="A22" s="20"/>
      <c r="B22" s="12" t="s">
        <v>112</v>
      </c>
      <c r="C22" s="20"/>
      <c r="D22" s="11" t="s">
        <v>210</v>
      </c>
      <c r="E22" s="11"/>
      <c r="F22" s="21">
        <f>663.3*0.1*1.022</f>
        <v>67.789259999999999</v>
      </c>
    </row>
    <row r="23" spans="1:11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11" x14ac:dyDescent="0.25">
      <c r="A24" s="20"/>
      <c r="B24" s="54"/>
      <c r="C24" s="20"/>
      <c r="D24" s="11"/>
      <c r="E24" s="11"/>
      <c r="F24" s="21"/>
    </row>
    <row r="25" spans="1:11" x14ac:dyDescent="0.25">
      <c r="A25" s="15"/>
      <c r="B25" s="17" t="s">
        <v>117</v>
      </c>
      <c r="C25" s="15"/>
      <c r="D25" s="16"/>
      <c r="E25" s="16"/>
      <c r="F25" s="22"/>
    </row>
    <row r="26" spans="1:11" x14ac:dyDescent="0.25">
      <c r="A26" s="3"/>
      <c r="B26" s="19" t="s">
        <v>121</v>
      </c>
      <c r="C26" s="3"/>
      <c r="D26" s="5"/>
      <c r="E26" s="6"/>
      <c r="F26" s="24">
        <f>F12+F22+F17</f>
        <v>696.83273351999992</v>
      </c>
    </row>
    <row r="27" spans="1:11" x14ac:dyDescent="0.25">
      <c r="A27" s="9"/>
      <c r="B27" s="20"/>
      <c r="C27" s="14"/>
      <c r="D27" s="16"/>
      <c r="E27" s="17"/>
      <c r="F27" s="13"/>
    </row>
    <row r="28" spans="1:11" x14ac:dyDescent="0.25">
      <c r="A28" s="3"/>
      <c r="B28" s="19"/>
      <c r="C28" s="11"/>
      <c r="D28" s="3"/>
      <c r="E28" s="25"/>
      <c r="F28" s="23"/>
    </row>
    <row r="29" spans="1:11" x14ac:dyDescent="0.25">
      <c r="A29" s="9"/>
      <c r="B29" s="20" t="s">
        <v>233</v>
      </c>
      <c r="C29" s="11" t="s">
        <v>49</v>
      </c>
      <c r="D29" s="26">
        <f>F26</f>
        <v>696.83273351999992</v>
      </c>
      <c r="E29" s="28">
        <v>4.0000000000000002E-4</v>
      </c>
      <c r="F29" s="21">
        <f>E29*F26</f>
        <v>0.27873309340799995</v>
      </c>
    </row>
    <row r="30" spans="1:11" x14ac:dyDescent="0.25">
      <c r="A30" s="9"/>
      <c r="B30" s="20" t="s">
        <v>11</v>
      </c>
      <c r="C30" s="8"/>
      <c r="D30" s="9"/>
      <c r="E30" s="28"/>
      <c r="F30" s="20"/>
    </row>
    <row r="31" spans="1:11" x14ac:dyDescent="0.25">
      <c r="A31" s="9"/>
      <c r="B31" s="20" t="s">
        <v>12</v>
      </c>
      <c r="C31" s="11"/>
      <c r="D31" s="9"/>
      <c r="E31" s="28"/>
      <c r="F31" s="29"/>
    </row>
    <row r="32" spans="1:11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696.83273351999992</v>
      </c>
      <c r="E33" s="27">
        <v>2.1000000000000001E-2</v>
      </c>
      <c r="F33" s="21">
        <f>E33*F26</f>
        <v>14.633487403919998</v>
      </c>
    </row>
    <row r="34" spans="1:6" x14ac:dyDescent="0.25">
      <c r="A34" s="9"/>
      <c r="B34" s="20" t="s">
        <v>15</v>
      </c>
      <c r="C34" s="11" t="s">
        <v>49</v>
      </c>
      <c r="D34" s="26">
        <f>F26</f>
        <v>696.83273351999992</v>
      </c>
      <c r="E34" s="27">
        <v>0.03</v>
      </c>
      <c r="F34" s="21">
        <f>E34*F26</f>
        <v>20.904982005599997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732.64993602292793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649.86049325233705</v>
      </c>
      <c r="D43" s="38">
        <v>7.18</v>
      </c>
      <c r="E43" s="36">
        <f>C43*D43</f>
        <v>4665.99834155178</v>
      </c>
      <c r="F43" s="36">
        <f>E43*1.09</f>
        <v>5085.9381922914408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3.6632496801146397</v>
      </c>
      <c r="D45" s="38">
        <v>20.07</v>
      </c>
      <c r="E45" s="36">
        <f>C45*D45</f>
        <v>73.521421079900819</v>
      </c>
      <c r="F45" s="39">
        <f>E45*1.09</f>
        <v>80.138348977091894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79.126193090476221</v>
      </c>
      <c r="D47" s="38">
        <v>8.42</v>
      </c>
      <c r="E47" s="36">
        <f>C47*D47</f>
        <v>666.24254582180981</v>
      </c>
      <c r="F47" s="39">
        <f>E47*1.09</f>
        <v>726.20437494577277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732.64993602292793</v>
      </c>
      <c r="D49" s="42"/>
      <c r="E49" s="43">
        <f>E43+E45+E47</f>
        <v>5405.7623084534898</v>
      </c>
      <c r="F49" s="44">
        <f>F43+F45+F47</f>
        <v>5892.2809162143049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5892.2809162143049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mergeCells count="1">
    <mergeCell ref="I15:K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79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'6.1'!F50*1000</f>
        <v>1734016.636280766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245264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5" sqref="E25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96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'6.2'!F50*1000</f>
        <v>1875260.819256505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265242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97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'6.3'!F50*1000</f>
        <v>1999626.7665307408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282833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102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'6.4'!F50*1000</f>
        <v>2227038.7844036277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314998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7.57031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113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'6.5'!F50*1000</f>
        <v>2357623.0290415753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333469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9" workbookViewId="0">
      <selection activeCell="B29" sqref="B29:F34"/>
    </sheetView>
  </sheetViews>
  <sheetFormatPr defaultRowHeight="15" x14ac:dyDescent="0.25"/>
  <cols>
    <col min="1" max="1" width="4.7109375" customWidth="1"/>
    <col min="2" max="2" width="40.140625" customWidth="1"/>
    <col min="3" max="3" width="27.7109375" customWidth="1"/>
    <col min="5" max="5" width="16.7109375" customWidth="1"/>
    <col min="6" max="6" width="17" customWidth="1"/>
  </cols>
  <sheetData>
    <row r="1" spans="1:6" x14ac:dyDescent="0.25">
      <c r="A1" s="1" t="s">
        <v>30</v>
      </c>
      <c r="B1" s="2"/>
      <c r="C1" s="2"/>
      <c r="D1" s="2"/>
      <c r="E1" s="2"/>
      <c r="F1" s="2"/>
    </row>
    <row r="2" spans="1:6" x14ac:dyDescent="0.25">
      <c r="A2" s="1"/>
      <c r="B2" s="1" t="s">
        <v>80</v>
      </c>
      <c r="C2" s="1"/>
      <c r="D2" s="1"/>
      <c r="E2" s="1"/>
      <c r="F2" s="1"/>
    </row>
    <row r="3" spans="1:6" x14ac:dyDescent="0.25">
      <c r="A3" s="1"/>
      <c r="B3" s="1" t="s">
        <v>0</v>
      </c>
      <c r="C3" s="1"/>
      <c r="D3" s="1"/>
      <c r="E3" s="1"/>
      <c r="F3" s="1"/>
    </row>
    <row r="5" spans="1:6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6" x14ac:dyDescent="0.25">
      <c r="A6" s="9"/>
      <c r="B6" s="10"/>
      <c r="C6" s="11"/>
      <c r="D6" s="9"/>
      <c r="E6" s="12"/>
      <c r="F6" s="13" t="s">
        <v>6</v>
      </c>
    </row>
    <row r="7" spans="1:6" x14ac:dyDescent="0.25">
      <c r="A7" s="14" t="s">
        <v>7</v>
      </c>
      <c r="B7" s="15"/>
      <c r="C7" s="16"/>
      <c r="D7" s="14"/>
      <c r="E7" s="17"/>
      <c r="F7" s="18" t="s">
        <v>8</v>
      </c>
    </row>
    <row r="8" spans="1:6" x14ac:dyDescent="0.25">
      <c r="A8" s="3"/>
      <c r="B8" s="19"/>
      <c r="C8" s="11"/>
      <c r="D8" s="9"/>
      <c r="E8" s="12"/>
      <c r="F8" s="13"/>
    </row>
    <row r="9" spans="1:6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6" x14ac:dyDescent="0.25">
      <c r="A10" s="14"/>
      <c r="B10" s="15"/>
      <c r="C10" s="16"/>
      <c r="D10" s="14"/>
      <c r="E10" s="17"/>
      <c r="F10" s="18"/>
    </row>
    <row r="11" spans="1:6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6" ht="34.5" x14ac:dyDescent="0.25">
      <c r="A12" s="20"/>
      <c r="B12" s="12" t="s">
        <v>47</v>
      </c>
      <c r="C12" s="56" t="s">
        <v>50</v>
      </c>
      <c r="D12" s="11" t="s">
        <v>122</v>
      </c>
      <c r="E12" s="11"/>
      <c r="F12" s="21">
        <f>160*0.7*1.036*1.022</f>
        <v>118.58470400000002</v>
      </c>
    </row>
    <row r="13" spans="1:6" ht="23.25" x14ac:dyDescent="0.25">
      <c r="A13" s="20"/>
      <c r="B13" s="12" t="s">
        <v>46</v>
      </c>
      <c r="C13" s="56" t="s">
        <v>109</v>
      </c>
      <c r="D13" s="11"/>
      <c r="E13" s="12"/>
      <c r="F13" s="98"/>
    </row>
    <row r="14" spans="1:6" x14ac:dyDescent="0.25">
      <c r="A14" s="20"/>
      <c r="B14" s="54" t="s">
        <v>33</v>
      </c>
      <c r="C14" s="20"/>
      <c r="D14" s="11"/>
      <c r="E14" s="11"/>
      <c r="F14" s="21"/>
    </row>
    <row r="15" spans="1:6" x14ac:dyDescent="0.25">
      <c r="A15" s="15"/>
      <c r="B15" s="55" t="s">
        <v>110</v>
      </c>
      <c r="C15" s="15"/>
      <c r="D15" s="16"/>
      <c r="E15" s="16"/>
      <c r="F15" s="22"/>
    </row>
    <row r="16" spans="1:6" x14ac:dyDescent="0.25">
      <c r="A16" s="19">
        <v>3</v>
      </c>
      <c r="B16" s="12" t="s">
        <v>32</v>
      </c>
      <c r="C16" s="20" t="s">
        <v>10</v>
      </c>
      <c r="D16" s="11"/>
      <c r="E16" s="11"/>
      <c r="F16" s="21"/>
    </row>
    <row r="17" spans="1:6" x14ac:dyDescent="0.25">
      <c r="A17" s="20"/>
      <c r="B17" s="12" t="s">
        <v>47</v>
      </c>
      <c r="C17" s="98"/>
      <c r="D17" s="11" t="s">
        <v>123</v>
      </c>
      <c r="E17" s="11"/>
      <c r="F17" s="21">
        <f>160*0.2*1.036</f>
        <v>33.152000000000001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19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47</v>
      </c>
      <c r="C22" s="98"/>
      <c r="D22" s="11" t="s">
        <v>124</v>
      </c>
      <c r="E22" s="11"/>
      <c r="F22" s="21">
        <f>160*0.1*1.022</f>
        <v>16.352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F12+F22+F17</f>
        <v>168.08870400000001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168.08870400000001</v>
      </c>
      <c r="E29" s="28">
        <v>4.0000000000000002E-4</v>
      </c>
      <c r="F29" s="21">
        <f>E29*F26</f>
        <v>6.7235481600000008E-2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168.08870400000001</v>
      </c>
      <c r="E33" s="27">
        <v>2.1000000000000001E-2</v>
      </c>
      <c r="F33" s="21">
        <f>E33*F26</f>
        <v>3.5298627840000005</v>
      </c>
    </row>
    <row r="34" spans="1:6" x14ac:dyDescent="0.25">
      <c r="A34" s="9"/>
      <c r="B34" s="20" t="s">
        <v>15</v>
      </c>
      <c r="C34" s="11" t="s">
        <v>49</v>
      </c>
      <c r="D34" s="26">
        <f>F26</f>
        <v>168.08870400000001</v>
      </c>
      <c r="E34" s="27">
        <v>0.03</v>
      </c>
      <c r="F34" s="21">
        <f>E34*F26</f>
        <v>5.04266112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176.72846338559998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156.75814702302719</v>
      </c>
      <c r="D43" s="38">
        <v>7.18</v>
      </c>
      <c r="E43" s="36">
        <f>C43*D43</f>
        <v>1125.5234956253353</v>
      </c>
      <c r="F43" s="36">
        <f>E43*1.09</f>
        <v>1226.8206102316155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0.88364231692799988</v>
      </c>
      <c r="D45" s="38">
        <v>20.07</v>
      </c>
      <c r="E45" s="36">
        <f>C45*D45</f>
        <v>17.734701300744959</v>
      </c>
      <c r="F45" s="39">
        <f>E45*1.09</f>
        <v>19.330824417812007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19.086674045644799</v>
      </c>
      <c r="D47" s="38">
        <v>8.42</v>
      </c>
      <c r="E47" s="36">
        <f>C47*D47</f>
        <v>160.7097954643292</v>
      </c>
      <c r="F47" s="39">
        <f>E47*1.09</f>
        <v>175.17367705611883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176.72846338559998</v>
      </c>
      <c r="D49" s="42"/>
      <c r="E49" s="43">
        <f>E43+E45+E47</f>
        <v>1303.9679923904096</v>
      </c>
      <c r="F49" s="44">
        <f>F43+F45+F47</f>
        <v>1421.3251117055463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1421.3251117055463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7.57031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216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'6.6'!F50*1000</f>
        <v>2985671.0627764636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422301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6" sqref="E16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211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'6.7'!F50*1000</f>
        <v>2559273.5292647998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361991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8" sqref="E18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212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'6.8'!F50*1000</f>
        <v>3225519.6753767743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456226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0" sqref="I10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213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'6.9'!F50*1000</f>
        <v>3796714.7046434404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537018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22" sqref="F22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214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'6.10'!F50*1000</f>
        <v>4212452.2998173125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595821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0" sqref="E20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7.57031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215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'6.11'!F50*1000</f>
        <v>4640626.4897186076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656383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3" sqref="C23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7.57031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217</v>
      </c>
      <c r="B3" s="221"/>
      <c r="C3" s="221"/>
      <c r="D3" s="221"/>
      <c r="E3" s="221"/>
    </row>
    <row r="4" spans="1:5" ht="15.75" customHeight="1" x14ac:dyDescent="0.25">
      <c r="A4" s="221" t="s">
        <v>92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'6.12'!F50*1000</f>
        <v>5892280.916214305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833420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G14" sqref="G14"/>
    </sheetView>
  </sheetViews>
  <sheetFormatPr defaultRowHeight="36.75" customHeight="1" x14ac:dyDescent="0.25"/>
  <cols>
    <col min="2" max="2" width="7.140625" style="71" customWidth="1"/>
    <col min="3" max="3" width="51.7109375" customWidth="1"/>
    <col min="4" max="4" width="14.28515625" customWidth="1"/>
    <col min="5" max="5" width="15.5703125" customWidth="1"/>
    <col min="6" max="6" width="13.42578125" customWidth="1"/>
  </cols>
  <sheetData>
    <row r="1" spans="2:5" ht="16.5" customHeight="1" x14ac:dyDescent="0.25">
      <c r="E1" s="102" t="s">
        <v>261</v>
      </c>
    </row>
    <row r="2" spans="2:5" ht="53.25" customHeight="1" x14ac:dyDescent="0.25">
      <c r="B2" s="229" t="s">
        <v>220</v>
      </c>
      <c r="C2" s="229"/>
      <c r="D2" s="229"/>
      <c r="E2" s="229"/>
    </row>
    <row r="3" spans="2:5" ht="21.75" customHeight="1" x14ac:dyDescent="0.25">
      <c r="B3" s="230" t="s">
        <v>73</v>
      </c>
      <c r="C3" s="230"/>
      <c r="D3" s="230"/>
      <c r="E3" s="230"/>
    </row>
    <row r="4" spans="2:5" ht="1.5" customHeight="1" x14ac:dyDescent="0.25">
      <c r="B4" s="87"/>
      <c r="C4" s="88"/>
      <c r="D4" s="88"/>
      <c r="E4" s="88"/>
    </row>
    <row r="5" spans="2:5" ht="36.75" customHeight="1" x14ac:dyDescent="0.25">
      <c r="B5" s="231" t="s">
        <v>74</v>
      </c>
      <c r="C5" s="232" t="s">
        <v>75</v>
      </c>
      <c r="D5" s="231" t="s">
        <v>76</v>
      </c>
      <c r="E5" s="231"/>
    </row>
    <row r="6" spans="2:5" ht="58.5" customHeight="1" x14ac:dyDescent="0.25">
      <c r="B6" s="231"/>
      <c r="C6" s="232"/>
      <c r="D6" s="89" t="s">
        <v>218</v>
      </c>
      <c r="E6" s="89" t="s">
        <v>219</v>
      </c>
    </row>
    <row r="7" spans="2:5" ht="36.75" customHeight="1" x14ac:dyDescent="0.25">
      <c r="B7" s="90">
        <v>1</v>
      </c>
      <c r="C7" s="228" t="s">
        <v>153</v>
      </c>
      <c r="D7" s="228"/>
      <c r="E7" s="228"/>
    </row>
    <row r="8" spans="2:5" ht="27.75" customHeight="1" x14ac:dyDescent="0.25">
      <c r="B8" s="91" t="s">
        <v>236</v>
      </c>
      <c r="C8" s="92" t="s">
        <v>255</v>
      </c>
      <c r="D8" s="93">
        <f>ROUND(E8/2,0)</f>
        <v>100518</v>
      </c>
      <c r="E8" s="93">
        <f>С3.2!D10</f>
        <v>201036</v>
      </c>
    </row>
    <row r="9" spans="2:5" ht="30" customHeight="1" x14ac:dyDescent="0.25">
      <c r="B9" s="91" t="s">
        <v>237</v>
      </c>
      <c r="C9" s="92" t="s">
        <v>256</v>
      </c>
      <c r="D9" s="93">
        <f t="shared" ref="D9:D14" si="0">ROUND(E9/2,0)</f>
        <v>109314</v>
      </c>
      <c r="E9" s="93">
        <f>С3.1!D10</f>
        <v>218627</v>
      </c>
    </row>
    <row r="10" spans="2:5" ht="27.75" customHeight="1" x14ac:dyDescent="0.25">
      <c r="B10" s="91" t="s">
        <v>238</v>
      </c>
      <c r="C10" s="92" t="s">
        <v>257</v>
      </c>
      <c r="D10" s="93">
        <f t="shared" si="0"/>
        <v>119994</v>
      </c>
      <c r="E10" s="93">
        <f>С3.3!D10</f>
        <v>239987</v>
      </c>
    </row>
    <row r="11" spans="2:5" ht="28.5" customHeight="1" x14ac:dyDescent="0.25">
      <c r="B11" s="91" t="s">
        <v>239</v>
      </c>
      <c r="C11" s="92" t="s">
        <v>258</v>
      </c>
      <c r="D11" s="93">
        <f t="shared" si="0"/>
        <v>133187</v>
      </c>
      <c r="E11" s="93">
        <f>С3.4!D10</f>
        <v>266373</v>
      </c>
    </row>
    <row r="12" spans="2:5" ht="30" customHeight="1" x14ac:dyDescent="0.25">
      <c r="B12" s="91" t="s">
        <v>240</v>
      </c>
      <c r="C12" s="92" t="s">
        <v>259</v>
      </c>
      <c r="D12" s="93">
        <f>ROUND(E12/2,0)</f>
        <v>152662</v>
      </c>
      <c r="E12" s="93">
        <f>С3.5!D10</f>
        <v>305324</v>
      </c>
    </row>
    <row r="13" spans="2:5" ht="28.5" customHeight="1" x14ac:dyDescent="0.25">
      <c r="B13" s="91" t="s">
        <v>241</v>
      </c>
      <c r="C13" s="92" t="s">
        <v>260</v>
      </c>
      <c r="D13" s="93">
        <f>ROUND(E13/2,0)</f>
        <v>157103</v>
      </c>
      <c r="E13" s="93">
        <f>С3.6!D10</f>
        <v>314205</v>
      </c>
    </row>
    <row r="14" spans="2:5" ht="31.5" customHeight="1" x14ac:dyDescent="0.25">
      <c r="B14" s="91" t="s">
        <v>242</v>
      </c>
      <c r="C14" s="92" t="s">
        <v>221</v>
      </c>
      <c r="D14" s="93">
        <f t="shared" si="0"/>
        <v>122632</v>
      </c>
      <c r="E14" s="93">
        <f>С6.1!D10</f>
        <v>245264</v>
      </c>
    </row>
    <row r="15" spans="2:5" ht="31.5" customHeight="1" x14ac:dyDescent="0.25">
      <c r="B15" s="91" t="s">
        <v>243</v>
      </c>
      <c r="C15" s="92" t="s">
        <v>222</v>
      </c>
      <c r="D15" s="93">
        <f>ROUND(E15/2,0)</f>
        <v>132621</v>
      </c>
      <c r="E15" s="93">
        <f>С6.2!D10</f>
        <v>265242</v>
      </c>
    </row>
    <row r="16" spans="2:5" ht="31.5" customHeight="1" x14ac:dyDescent="0.25">
      <c r="B16" s="91" t="s">
        <v>244</v>
      </c>
      <c r="C16" s="92" t="s">
        <v>223</v>
      </c>
      <c r="D16" s="93">
        <f>ROUND(E16/2,0)</f>
        <v>141417</v>
      </c>
      <c r="E16" s="93">
        <f>С6.3!D10</f>
        <v>282833</v>
      </c>
    </row>
    <row r="17" spans="2:5" ht="32.25" customHeight="1" x14ac:dyDescent="0.25">
      <c r="B17" s="91" t="s">
        <v>245</v>
      </c>
      <c r="C17" s="92" t="s">
        <v>224</v>
      </c>
      <c r="D17" s="93">
        <f>ROUND(E17/2,0)</f>
        <v>157499</v>
      </c>
      <c r="E17" s="93">
        <f>С6.4!D10</f>
        <v>314998</v>
      </c>
    </row>
    <row r="18" spans="2:5" ht="27.75" customHeight="1" x14ac:dyDescent="0.25">
      <c r="B18" s="91" t="s">
        <v>246</v>
      </c>
      <c r="C18" s="94" t="s">
        <v>225</v>
      </c>
      <c r="D18" s="93">
        <f>ROUND(E18/2,0)</f>
        <v>166735</v>
      </c>
      <c r="E18" s="93">
        <f>С6.5!D10</f>
        <v>333469</v>
      </c>
    </row>
    <row r="19" spans="2:5" ht="29.25" customHeight="1" x14ac:dyDescent="0.25">
      <c r="B19" s="91" t="s">
        <v>247</v>
      </c>
      <c r="C19" s="94" t="s">
        <v>226</v>
      </c>
      <c r="D19" s="93">
        <f>ROUND(E19/2,0)</f>
        <v>211151</v>
      </c>
      <c r="E19" s="93">
        <f>С6.6!D10</f>
        <v>422301</v>
      </c>
    </row>
    <row r="20" spans="2:5" ht="30.75" customHeight="1" x14ac:dyDescent="0.25">
      <c r="B20" s="91" t="s">
        <v>248</v>
      </c>
      <c r="C20" s="92" t="s">
        <v>227</v>
      </c>
      <c r="D20" s="93">
        <f t="shared" ref="D20" si="1">ROUND(E20/2,0)</f>
        <v>180996</v>
      </c>
      <c r="E20" s="93">
        <f>С6.7!D10</f>
        <v>361991</v>
      </c>
    </row>
    <row r="21" spans="2:5" ht="28.5" customHeight="1" x14ac:dyDescent="0.25">
      <c r="B21" s="91" t="s">
        <v>249</v>
      </c>
      <c r="C21" s="92" t="s">
        <v>228</v>
      </c>
      <c r="D21" s="93">
        <f>ROUND(E21/2,0)</f>
        <v>228113</v>
      </c>
      <c r="E21" s="93">
        <f>С6.8!D10</f>
        <v>456226</v>
      </c>
    </row>
    <row r="22" spans="2:5" ht="32.25" customHeight="1" x14ac:dyDescent="0.25">
      <c r="B22" s="91" t="s">
        <v>250</v>
      </c>
      <c r="C22" s="92" t="s">
        <v>254</v>
      </c>
      <c r="D22" s="93">
        <f>ROUND(E22/2,0)</f>
        <v>268509</v>
      </c>
      <c r="E22" s="93">
        <f>С6.9!D10</f>
        <v>537018</v>
      </c>
    </row>
    <row r="23" spans="2:5" ht="30.75" customHeight="1" x14ac:dyDescent="0.25">
      <c r="B23" s="91" t="s">
        <v>251</v>
      </c>
      <c r="C23" s="92" t="s">
        <v>229</v>
      </c>
      <c r="D23" s="93">
        <f>ROUND(E23/2,0)</f>
        <v>297911</v>
      </c>
      <c r="E23" s="93">
        <f>С6.10!D10</f>
        <v>595821</v>
      </c>
    </row>
    <row r="24" spans="2:5" ht="32.25" customHeight="1" x14ac:dyDescent="0.25">
      <c r="B24" s="91" t="s">
        <v>252</v>
      </c>
      <c r="C24" s="94" t="s">
        <v>230</v>
      </c>
      <c r="D24" s="93">
        <f>ROUND(E24/2,0)</f>
        <v>328192</v>
      </c>
      <c r="E24" s="93">
        <f>С6.11!D10</f>
        <v>656383</v>
      </c>
    </row>
    <row r="25" spans="2:5" ht="29.25" customHeight="1" x14ac:dyDescent="0.25">
      <c r="B25" s="91" t="s">
        <v>253</v>
      </c>
      <c r="C25" s="94" t="s">
        <v>231</v>
      </c>
      <c r="D25" s="93">
        <f>ROUND(E25/2,0)</f>
        <v>416710</v>
      </c>
      <c r="E25" s="93">
        <f>С6.12!D10</f>
        <v>833420</v>
      </c>
    </row>
    <row r="26" spans="2:5" ht="36.75" customHeight="1" x14ac:dyDescent="0.25">
      <c r="B26" s="88" t="s">
        <v>155</v>
      </c>
      <c r="C26" s="88"/>
      <c r="D26" s="88"/>
      <c r="E26" s="88"/>
    </row>
    <row r="27" spans="2:5" ht="36.75" customHeight="1" x14ac:dyDescent="0.25">
      <c r="B27" s="88" t="s">
        <v>156</v>
      </c>
      <c r="C27" s="87"/>
      <c r="D27" s="88"/>
      <c r="E27" s="88"/>
    </row>
    <row r="28" spans="2:5" ht="36.75" customHeight="1" x14ac:dyDescent="0.25">
      <c r="B28"/>
    </row>
    <row r="29" spans="2:5" ht="36.75" customHeight="1" x14ac:dyDescent="0.25">
      <c r="B29"/>
    </row>
  </sheetData>
  <mergeCells count="6">
    <mergeCell ref="C7:E7"/>
    <mergeCell ref="B2:E2"/>
    <mergeCell ref="B3:E3"/>
    <mergeCell ref="B5:B6"/>
    <mergeCell ref="C5:C6"/>
    <mergeCell ref="D5:E5"/>
  </mergeCells>
  <phoneticPr fontId="0" type="noConversion"/>
  <printOptions verticalCentered="1"/>
  <pageMargins left="0" right="0" top="0" bottom="0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6" sqref="G6"/>
    </sheetView>
  </sheetViews>
  <sheetFormatPr defaultRowHeight="60.75" customHeight="1" x14ac:dyDescent="0.25"/>
  <cols>
    <col min="2" max="2" width="6.7109375" customWidth="1"/>
    <col min="3" max="3" width="41.7109375" customWidth="1"/>
    <col min="4" max="4" width="13.28515625" customWidth="1"/>
    <col min="5" max="5" width="15.140625" customWidth="1"/>
    <col min="7" max="7" width="10.28515625" customWidth="1"/>
    <col min="8" max="8" width="11.28515625" customWidth="1"/>
  </cols>
  <sheetData>
    <row r="1" spans="1:5" ht="24.75" customHeight="1" x14ac:dyDescent="0.25">
      <c r="E1" s="88" t="s">
        <v>179</v>
      </c>
    </row>
    <row r="2" spans="1:5" ht="60.75" customHeight="1" x14ac:dyDescent="0.25">
      <c r="B2" s="233" t="s">
        <v>232</v>
      </c>
      <c r="C2" s="233"/>
      <c r="D2" s="233"/>
      <c r="E2" s="233"/>
    </row>
    <row r="3" spans="1:5" ht="32.25" customHeight="1" x14ac:dyDescent="0.25">
      <c r="B3" s="230" t="s">
        <v>107</v>
      </c>
      <c r="C3" s="230"/>
      <c r="D3" s="230"/>
      <c r="E3" s="230"/>
    </row>
    <row r="4" spans="1:5" ht="60.75" hidden="1" customHeight="1" x14ac:dyDescent="0.25">
      <c r="B4" s="88"/>
      <c r="C4" s="88"/>
      <c r="D4" s="88"/>
      <c r="E4" s="88"/>
    </row>
    <row r="5" spans="1:5" ht="60.75" customHeight="1" x14ac:dyDescent="0.25">
      <c r="B5" s="231" t="s">
        <v>74</v>
      </c>
      <c r="C5" s="232" t="s">
        <v>75</v>
      </c>
      <c r="D5" s="231" t="s">
        <v>108</v>
      </c>
      <c r="E5" s="231"/>
    </row>
    <row r="6" spans="1:5" ht="60.75" customHeight="1" x14ac:dyDescent="0.25">
      <c r="B6" s="231"/>
      <c r="C6" s="232"/>
      <c r="D6" s="89" t="s">
        <v>218</v>
      </c>
      <c r="E6" s="89" t="s">
        <v>219</v>
      </c>
    </row>
    <row r="7" spans="1:5" ht="60.75" customHeight="1" x14ac:dyDescent="0.25">
      <c r="B7" s="90">
        <v>1</v>
      </c>
      <c r="C7" s="228" t="s">
        <v>154</v>
      </c>
      <c r="D7" s="228"/>
      <c r="E7" s="228"/>
    </row>
    <row r="8" spans="1:5" ht="60.75" customHeight="1" x14ac:dyDescent="0.25">
      <c r="B8" s="91" t="s">
        <v>236</v>
      </c>
      <c r="C8" s="94" t="s">
        <v>62</v>
      </c>
      <c r="D8" s="95">
        <f>ROUNDDOWN(E8/2,0)</f>
        <v>3236</v>
      </c>
      <c r="E8" s="96">
        <v>6473</v>
      </c>
    </row>
    <row r="9" spans="1:5" ht="60.75" customHeight="1" x14ac:dyDescent="0.25">
      <c r="B9" s="91" t="s">
        <v>237</v>
      </c>
      <c r="C9" s="94" t="s">
        <v>92</v>
      </c>
      <c r="D9" s="95">
        <f>ROUNDDOWN(E9/2,0)</f>
        <v>2668</v>
      </c>
      <c r="E9" s="96">
        <v>5337</v>
      </c>
    </row>
    <row r="10" spans="1:5" ht="52.5" customHeight="1" x14ac:dyDescent="0.25">
      <c r="A10" s="88" t="s">
        <v>235</v>
      </c>
    </row>
    <row r="11" spans="1:5" ht="38.25" customHeight="1" x14ac:dyDescent="0.25">
      <c r="A11" s="88" t="s">
        <v>156</v>
      </c>
    </row>
    <row r="12" spans="1:5" ht="39.75" customHeight="1" x14ac:dyDescent="0.25"/>
  </sheetData>
  <mergeCells count="6">
    <mergeCell ref="C7:E7"/>
    <mergeCell ref="B2:E2"/>
    <mergeCell ref="B3:E3"/>
    <mergeCell ref="B5:B6"/>
    <mergeCell ref="C5:C6"/>
    <mergeCell ref="D5:E5"/>
  </mergeCells>
  <phoneticPr fontId="0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61" workbookViewId="0">
      <selection activeCell="G82" sqref="G82"/>
    </sheetView>
  </sheetViews>
  <sheetFormatPr defaultRowHeight="15" x14ac:dyDescent="0.25"/>
  <cols>
    <col min="1" max="1" width="5.28515625" customWidth="1"/>
    <col min="2" max="2" width="35.42578125" customWidth="1"/>
    <col min="3" max="3" width="11" customWidth="1"/>
    <col min="4" max="4" width="20.7109375" customWidth="1"/>
    <col min="5" max="5" width="18.140625" customWidth="1"/>
    <col min="6" max="6" width="9.5703125" bestFit="1" customWidth="1"/>
    <col min="7" max="7" width="10.85546875" bestFit="1" customWidth="1"/>
    <col min="9" max="9" width="12.42578125" bestFit="1" customWidth="1"/>
  </cols>
  <sheetData>
    <row r="1" spans="1:17" ht="15.75" x14ac:dyDescent="0.25">
      <c r="A1" s="118"/>
      <c r="B1" s="119"/>
      <c r="C1" s="118"/>
      <c r="D1" s="118"/>
      <c r="E1" s="118"/>
    </row>
    <row r="2" spans="1:17" ht="15.75" x14ac:dyDescent="0.25">
      <c r="A2" s="118"/>
      <c r="B2" s="119"/>
      <c r="C2" s="118"/>
      <c r="D2" s="118"/>
      <c r="E2" s="118"/>
    </row>
    <row r="3" spans="1:17" ht="16.5" thickBot="1" x14ac:dyDescent="0.3">
      <c r="A3" s="118"/>
      <c r="B3" s="234"/>
      <c r="C3" s="234"/>
      <c r="D3" s="234"/>
      <c r="E3" s="118"/>
    </row>
    <row r="4" spans="1:17" ht="15.75" x14ac:dyDescent="0.25">
      <c r="A4" s="120"/>
      <c r="B4" s="120"/>
      <c r="C4" s="120"/>
      <c r="D4" s="120"/>
      <c r="E4" s="235"/>
    </row>
    <row r="5" spans="1:17" ht="15.75" x14ac:dyDescent="0.25">
      <c r="A5" s="121"/>
      <c r="B5" s="121"/>
      <c r="C5" s="121"/>
      <c r="D5" s="121"/>
      <c r="E5" s="236"/>
    </row>
    <row r="6" spans="1:17" ht="16.5" thickBot="1" x14ac:dyDescent="0.3">
      <c r="A6" s="122"/>
      <c r="B6" s="122"/>
      <c r="C6" s="122"/>
      <c r="D6" s="122"/>
      <c r="E6" s="237"/>
    </row>
    <row r="7" spans="1:17" ht="16.5" thickBot="1" x14ac:dyDescent="0.3">
      <c r="A7" s="123"/>
      <c r="B7" s="124"/>
      <c r="C7" s="125"/>
      <c r="D7" s="126"/>
      <c r="E7" s="120"/>
    </row>
    <row r="8" spans="1:17" ht="15.75" x14ac:dyDescent="0.25">
      <c r="A8" s="127"/>
      <c r="B8" s="128"/>
      <c r="C8" s="129"/>
      <c r="D8" s="130"/>
      <c r="E8" s="131"/>
    </row>
    <row r="9" spans="1:17" ht="15.75" x14ac:dyDescent="0.25">
      <c r="A9" s="132"/>
      <c r="B9" s="133"/>
      <c r="C9" s="133"/>
      <c r="D9" s="134"/>
      <c r="E9" s="135"/>
    </row>
    <row r="10" spans="1:17" ht="15.75" x14ac:dyDescent="0.25">
      <c r="A10" s="132"/>
      <c r="B10" s="133"/>
      <c r="C10" s="133"/>
      <c r="D10" s="134"/>
      <c r="E10" s="135"/>
    </row>
    <row r="11" spans="1:17" ht="15.75" x14ac:dyDescent="0.25">
      <c r="A11" s="132"/>
      <c r="B11" s="133"/>
      <c r="C11" s="133"/>
      <c r="D11" s="134"/>
      <c r="E11" s="136"/>
    </row>
    <row r="12" spans="1:17" ht="15.75" x14ac:dyDescent="0.25">
      <c r="A12" s="132"/>
      <c r="B12" s="133"/>
      <c r="C12" s="133"/>
      <c r="D12" s="137"/>
      <c r="E12" s="136"/>
    </row>
    <row r="13" spans="1:17" ht="16.5" thickBot="1" x14ac:dyDescent="0.3">
      <c r="A13" s="138"/>
      <c r="B13" s="139"/>
      <c r="C13" s="139"/>
      <c r="D13" s="140"/>
      <c r="E13" s="141"/>
    </row>
    <row r="14" spans="1:17" ht="16.5" thickBot="1" x14ac:dyDescent="0.3">
      <c r="A14" s="142"/>
      <c r="B14" s="143"/>
      <c r="C14" s="143"/>
      <c r="D14" s="144"/>
      <c r="E14" s="145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5.75" x14ac:dyDescent="0.25">
      <c r="A15" s="146"/>
      <c r="B15" s="147"/>
      <c r="C15" s="148"/>
      <c r="D15" s="149"/>
      <c r="E15" s="150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5.75" x14ac:dyDescent="0.25">
      <c r="A16" s="151"/>
      <c r="B16" s="152"/>
      <c r="C16" s="152"/>
      <c r="D16" s="153"/>
      <c r="E16" s="154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5.75" x14ac:dyDescent="0.25">
      <c r="A17" s="155"/>
      <c r="B17" s="156"/>
      <c r="C17" s="156"/>
      <c r="D17" s="157"/>
      <c r="E17" s="158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9.5" customHeight="1" thickBot="1" x14ac:dyDescent="0.3">
      <c r="A18" s="132"/>
      <c r="B18" s="133"/>
      <c r="C18" s="133"/>
      <c r="D18" s="134"/>
      <c r="E18" s="136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6.5" thickBot="1" x14ac:dyDescent="0.3">
      <c r="A19" s="159"/>
      <c r="B19" s="124"/>
      <c r="C19" s="125"/>
      <c r="D19" s="126"/>
      <c r="E19" s="120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5.75" x14ac:dyDescent="0.25">
      <c r="A20" s="127"/>
      <c r="B20" s="128"/>
      <c r="C20" s="129"/>
      <c r="D20" s="130"/>
      <c r="E20" s="131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5.75" x14ac:dyDescent="0.25">
      <c r="A21" s="132"/>
      <c r="B21" s="133"/>
      <c r="C21" s="133"/>
      <c r="D21" s="134"/>
      <c r="E21" s="135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21" customHeight="1" x14ac:dyDescent="0.25">
      <c r="A22" s="132"/>
      <c r="B22" s="133"/>
      <c r="C22" s="133"/>
      <c r="D22" s="134"/>
      <c r="E22" s="135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5.75" x14ac:dyDescent="0.25">
      <c r="A23" s="132"/>
      <c r="B23" s="133"/>
      <c r="C23" s="133"/>
      <c r="D23" s="134"/>
      <c r="E23" s="136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5.75" x14ac:dyDescent="0.25">
      <c r="A24" s="132"/>
      <c r="B24" s="133"/>
      <c r="C24" s="133"/>
      <c r="D24" s="137"/>
      <c r="E24" s="136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6.5" thickBot="1" x14ac:dyDescent="0.3">
      <c r="A25" s="138"/>
      <c r="B25" s="139"/>
      <c r="C25" s="139"/>
      <c r="D25" s="140"/>
      <c r="E25" s="141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6.5" thickBot="1" x14ac:dyDescent="0.3">
      <c r="A26" s="160"/>
      <c r="B26" s="161"/>
      <c r="C26" s="162"/>
      <c r="D26" s="163"/>
      <c r="E26" s="164"/>
      <c r="I26" s="73"/>
      <c r="J26" s="99"/>
      <c r="K26" s="100"/>
      <c r="L26" s="99"/>
      <c r="M26" s="103"/>
      <c r="N26" s="104"/>
      <c r="O26" s="73"/>
      <c r="P26" s="73"/>
      <c r="Q26" s="73"/>
    </row>
    <row r="27" spans="1:17" ht="16.5" thickBot="1" x14ac:dyDescent="0.3">
      <c r="A27" s="123"/>
      <c r="B27" s="165"/>
      <c r="C27" s="166"/>
      <c r="D27" s="126"/>
      <c r="E27" s="120"/>
      <c r="I27" s="73"/>
      <c r="J27" s="99"/>
      <c r="K27" s="100"/>
      <c r="L27" s="99"/>
      <c r="M27" s="103"/>
      <c r="N27" s="104"/>
      <c r="O27" s="73"/>
      <c r="P27" s="73"/>
      <c r="Q27" s="73"/>
    </row>
    <row r="28" spans="1:17" ht="15.75" x14ac:dyDescent="0.25">
      <c r="A28" s="146"/>
      <c r="B28" s="147"/>
      <c r="C28" s="148"/>
      <c r="D28" s="149"/>
      <c r="E28" s="150"/>
      <c r="I28" s="73"/>
      <c r="J28" s="99"/>
      <c r="K28" s="100"/>
      <c r="L28" s="99"/>
      <c r="M28" s="103"/>
      <c r="N28" s="104"/>
      <c r="O28" s="73"/>
      <c r="P28" s="73"/>
      <c r="Q28" s="73"/>
    </row>
    <row r="29" spans="1:17" ht="15.75" x14ac:dyDescent="0.25">
      <c r="A29" s="151"/>
      <c r="B29" s="152"/>
      <c r="C29" s="152"/>
      <c r="D29" s="153"/>
      <c r="E29" s="154"/>
      <c r="I29" s="116"/>
      <c r="J29" s="99"/>
      <c r="K29" s="100"/>
      <c r="L29" s="99"/>
      <c r="M29" s="103"/>
      <c r="N29" s="101"/>
      <c r="O29" s="73"/>
      <c r="P29" s="73"/>
      <c r="Q29" s="73"/>
    </row>
    <row r="30" spans="1:17" ht="15.75" x14ac:dyDescent="0.25">
      <c r="A30" s="155"/>
      <c r="B30" s="156"/>
      <c r="C30" s="156"/>
      <c r="D30" s="157"/>
      <c r="E30" s="158"/>
      <c r="I30" s="73"/>
      <c r="J30" s="99"/>
      <c r="K30" s="100"/>
      <c r="L30" s="99"/>
      <c r="M30" s="105"/>
      <c r="N30" s="101"/>
      <c r="O30" s="73"/>
      <c r="P30" s="73"/>
      <c r="Q30" s="73"/>
    </row>
    <row r="31" spans="1:17" ht="15.75" x14ac:dyDescent="0.25">
      <c r="A31" s="132"/>
      <c r="B31" s="133"/>
      <c r="C31" s="133"/>
      <c r="D31" s="134"/>
      <c r="E31" s="136"/>
      <c r="I31" s="73"/>
      <c r="J31" s="99"/>
      <c r="K31" s="100"/>
      <c r="L31" s="99"/>
      <c r="M31" s="106"/>
      <c r="N31" s="101"/>
      <c r="O31" s="73"/>
      <c r="P31" s="73"/>
      <c r="Q31" s="73"/>
    </row>
    <row r="32" spans="1:17" ht="16.5" thickBot="1" x14ac:dyDescent="0.3">
      <c r="A32" s="167"/>
      <c r="B32" s="168"/>
      <c r="C32" s="168"/>
      <c r="D32" s="168"/>
      <c r="E32" s="169"/>
      <c r="I32" s="73"/>
      <c r="J32" s="73"/>
      <c r="K32" s="73"/>
      <c r="L32" s="73"/>
      <c r="M32" s="73"/>
      <c r="N32" s="73"/>
      <c r="O32" s="73"/>
      <c r="P32" s="73"/>
      <c r="Q32" s="73"/>
    </row>
    <row r="33" spans="1:7" ht="16.5" thickBot="1" x14ac:dyDescent="0.3">
      <c r="A33" s="170"/>
      <c r="B33" s="124"/>
      <c r="C33" s="125"/>
      <c r="D33" s="171"/>
      <c r="E33" s="172"/>
    </row>
    <row r="34" spans="1:7" ht="15.75" x14ac:dyDescent="0.25">
      <c r="A34" s="127"/>
      <c r="B34" s="128"/>
      <c r="C34" s="129"/>
      <c r="D34" s="130"/>
      <c r="E34" s="131"/>
      <c r="F34" s="117"/>
    </row>
    <row r="35" spans="1:7" ht="15.75" x14ac:dyDescent="0.25">
      <c r="A35" s="132"/>
      <c r="B35" s="167"/>
      <c r="C35" s="133"/>
      <c r="D35" s="173"/>
      <c r="E35" s="135"/>
      <c r="F35" s="117"/>
    </row>
    <row r="36" spans="1:7" ht="15.75" x14ac:dyDescent="0.25">
      <c r="A36" s="132"/>
      <c r="B36" s="174"/>
      <c r="C36" s="133"/>
      <c r="D36" s="173"/>
      <c r="E36" s="135"/>
      <c r="F36" s="117"/>
    </row>
    <row r="37" spans="1:7" ht="15.75" x14ac:dyDescent="0.25">
      <c r="A37" s="132"/>
      <c r="B37" s="174"/>
      <c r="C37" s="133"/>
      <c r="D37" s="173"/>
      <c r="E37" s="136"/>
      <c r="F37" s="117"/>
      <c r="G37" s="117"/>
    </row>
    <row r="38" spans="1:7" ht="15.75" x14ac:dyDescent="0.25">
      <c r="A38" s="175"/>
      <c r="B38" s="174"/>
      <c r="C38" s="133"/>
      <c r="D38" s="137"/>
      <c r="E38" s="176"/>
      <c r="F38" s="117"/>
    </row>
    <row r="39" spans="1:7" ht="16.5" thickBot="1" x14ac:dyDescent="0.3">
      <c r="A39" s="138"/>
      <c r="B39" s="138"/>
      <c r="C39" s="139"/>
      <c r="D39" s="177"/>
      <c r="E39" s="141"/>
    </row>
    <row r="40" spans="1:7" ht="15.75" x14ac:dyDescent="0.25">
      <c r="A40" s="168"/>
      <c r="B40" s="168"/>
      <c r="C40" s="168"/>
      <c r="D40" s="178"/>
      <c r="E40" s="179"/>
    </row>
    <row r="41" spans="1:7" ht="15.75" x14ac:dyDescent="0.25">
      <c r="A41" s="102"/>
      <c r="B41" s="168"/>
      <c r="C41" s="168"/>
      <c r="D41" s="178"/>
      <c r="E41" s="179"/>
    </row>
    <row r="42" spans="1:7" x14ac:dyDescent="0.25">
      <c r="A42" s="102"/>
      <c r="B42" s="102"/>
      <c r="C42" s="102"/>
      <c r="D42" s="102"/>
      <c r="E42" s="102"/>
    </row>
    <row r="43" spans="1:7" ht="15.75" x14ac:dyDescent="0.25">
      <c r="A43" s="118"/>
      <c r="B43" s="119"/>
      <c r="C43" s="118"/>
      <c r="D43" s="118"/>
      <c r="E43" s="118"/>
    </row>
    <row r="44" spans="1:7" ht="15.75" x14ac:dyDescent="0.25">
      <c r="A44" s="118"/>
      <c r="B44" s="119"/>
      <c r="C44" s="118"/>
      <c r="D44" s="118"/>
      <c r="E44" s="118"/>
    </row>
    <row r="45" spans="1:7" ht="16.5" thickBot="1" x14ac:dyDescent="0.3">
      <c r="A45" s="118"/>
      <c r="B45" s="234"/>
      <c r="C45" s="234"/>
      <c r="D45" s="234"/>
      <c r="E45" s="118"/>
    </row>
    <row r="46" spans="1:7" ht="15.75" x14ac:dyDescent="0.25">
      <c r="A46" s="120"/>
      <c r="B46" s="120"/>
      <c r="C46" s="120"/>
      <c r="D46" s="120"/>
      <c r="E46" s="235"/>
    </row>
    <row r="47" spans="1:7" ht="15.75" x14ac:dyDescent="0.25">
      <c r="A47" s="121"/>
      <c r="B47" s="121"/>
      <c r="C47" s="121"/>
      <c r="D47" s="121"/>
      <c r="E47" s="236"/>
    </row>
    <row r="48" spans="1:7" ht="16.5" thickBot="1" x14ac:dyDescent="0.3">
      <c r="A48" s="122"/>
      <c r="B48" s="122"/>
      <c r="C48" s="122"/>
      <c r="D48" s="122"/>
      <c r="E48" s="237"/>
    </row>
    <row r="49" spans="1:5" ht="16.5" thickBot="1" x14ac:dyDescent="0.3">
      <c r="A49" s="159"/>
      <c r="B49" s="124"/>
      <c r="C49" s="125"/>
      <c r="D49" s="126"/>
      <c r="E49" s="120"/>
    </row>
    <row r="50" spans="1:5" ht="15.75" x14ac:dyDescent="0.25">
      <c r="A50" s="128"/>
      <c r="B50" s="129"/>
      <c r="C50" s="129"/>
      <c r="D50" s="130"/>
      <c r="E50" s="131"/>
    </row>
    <row r="51" spans="1:5" ht="15.75" x14ac:dyDescent="0.25">
      <c r="A51" s="132"/>
      <c r="B51" s="133"/>
      <c r="C51" s="133"/>
      <c r="D51" s="134"/>
      <c r="E51" s="135"/>
    </row>
    <row r="52" spans="1:5" ht="15.75" x14ac:dyDescent="0.25">
      <c r="A52" s="132"/>
      <c r="B52" s="133"/>
      <c r="C52" s="133"/>
      <c r="D52" s="134"/>
      <c r="E52" s="135"/>
    </row>
    <row r="53" spans="1:5" ht="18" customHeight="1" x14ac:dyDescent="0.25">
      <c r="A53" s="132"/>
      <c r="B53" s="180"/>
      <c r="C53" s="133"/>
      <c r="D53" s="134"/>
      <c r="E53" s="136"/>
    </row>
    <row r="54" spans="1:5" ht="15.75" x14ac:dyDescent="0.25">
      <c r="A54" s="132"/>
      <c r="B54" s="133"/>
      <c r="C54" s="133"/>
      <c r="D54" s="137"/>
      <c r="E54" s="136"/>
    </row>
    <row r="55" spans="1:5" ht="16.5" thickBot="1" x14ac:dyDescent="0.3">
      <c r="A55" s="138"/>
      <c r="B55" s="139"/>
      <c r="C55" s="139"/>
      <c r="D55" s="140"/>
      <c r="E55" s="141"/>
    </row>
    <row r="56" spans="1:5" ht="16.5" thickBot="1" x14ac:dyDescent="0.3">
      <c r="A56" s="159"/>
      <c r="B56" s="165"/>
      <c r="C56" s="181"/>
      <c r="D56" s="182"/>
      <c r="E56" s="183"/>
    </row>
    <row r="57" spans="1:5" ht="15.75" x14ac:dyDescent="0.25">
      <c r="A57" s="128"/>
      <c r="B57" s="129"/>
      <c r="C57" s="129"/>
      <c r="D57" s="130"/>
      <c r="E57" s="131"/>
    </row>
    <row r="58" spans="1:5" ht="15.75" x14ac:dyDescent="0.25">
      <c r="A58" s="132"/>
      <c r="B58" s="133"/>
      <c r="C58" s="133"/>
      <c r="D58" s="134"/>
      <c r="E58" s="135"/>
    </row>
    <row r="59" spans="1:5" ht="15.75" x14ac:dyDescent="0.25">
      <c r="A59" s="132"/>
      <c r="B59" s="133"/>
      <c r="C59" s="133"/>
      <c r="D59" s="134"/>
      <c r="E59" s="135"/>
    </row>
    <row r="60" spans="1:5" ht="15.75" x14ac:dyDescent="0.25">
      <c r="A60" s="132"/>
      <c r="B60" s="133"/>
      <c r="C60" s="133"/>
      <c r="D60" s="137"/>
      <c r="E60" s="136"/>
    </row>
    <row r="61" spans="1:5" ht="16.5" thickBot="1" x14ac:dyDescent="0.3">
      <c r="A61" s="138"/>
      <c r="B61" s="139"/>
      <c r="C61" s="139"/>
      <c r="D61" s="140"/>
      <c r="E61" s="141"/>
    </row>
    <row r="62" spans="1:5" ht="16.5" thickBot="1" x14ac:dyDescent="0.3">
      <c r="A62" s="159"/>
      <c r="B62" s="124"/>
      <c r="C62" s="125"/>
      <c r="D62" s="126"/>
      <c r="E62" s="120"/>
    </row>
    <row r="63" spans="1:5" ht="15.75" x14ac:dyDescent="0.25">
      <c r="A63" s="128"/>
      <c r="B63" s="129"/>
      <c r="C63" s="129"/>
      <c r="D63" s="130"/>
      <c r="E63" s="131"/>
    </row>
    <row r="64" spans="1:5" ht="15.75" x14ac:dyDescent="0.25">
      <c r="A64" s="132"/>
      <c r="B64" s="133"/>
      <c r="C64" s="133"/>
      <c r="D64" s="134"/>
      <c r="E64" s="135"/>
    </row>
    <row r="65" spans="1:8" ht="15.75" x14ac:dyDescent="0.25">
      <c r="A65" s="132"/>
      <c r="B65" s="133"/>
      <c r="C65" s="133"/>
      <c r="D65" s="134"/>
      <c r="E65" s="135"/>
    </row>
    <row r="66" spans="1:8" ht="16.5" thickBot="1" x14ac:dyDescent="0.3">
      <c r="A66" s="132"/>
      <c r="B66" s="180"/>
      <c r="C66" s="133"/>
      <c r="D66" s="134"/>
      <c r="E66" s="136"/>
    </row>
    <row r="67" spans="1:8" ht="16.5" thickBot="1" x14ac:dyDescent="0.3">
      <c r="A67" s="159"/>
      <c r="B67" s="124"/>
      <c r="C67" s="125"/>
      <c r="D67" s="126"/>
      <c r="E67" s="120"/>
    </row>
    <row r="68" spans="1:8" ht="15.75" x14ac:dyDescent="0.25">
      <c r="A68" s="128"/>
      <c r="B68" s="129"/>
      <c r="C68" s="129"/>
      <c r="D68" s="130"/>
      <c r="E68" s="131"/>
    </row>
    <row r="69" spans="1:8" ht="15.75" x14ac:dyDescent="0.25">
      <c r="A69" s="132"/>
      <c r="B69" s="133"/>
      <c r="C69" s="133"/>
      <c r="D69" s="134"/>
      <c r="E69" s="135"/>
    </row>
    <row r="70" spans="1:8" ht="15.75" x14ac:dyDescent="0.25">
      <c r="A70" s="132"/>
      <c r="B70" s="133"/>
      <c r="C70" s="133"/>
      <c r="D70" s="134"/>
      <c r="E70" s="135"/>
    </row>
    <row r="71" spans="1:8" ht="16.5" thickBot="1" x14ac:dyDescent="0.3">
      <c r="A71" s="132"/>
      <c r="B71" s="180"/>
      <c r="C71" s="133"/>
      <c r="D71" s="134"/>
      <c r="E71" s="136"/>
    </row>
    <row r="72" spans="1:8" ht="16.5" thickBot="1" x14ac:dyDescent="0.3">
      <c r="A72" s="159"/>
      <c r="B72" s="124"/>
      <c r="C72" s="125"/>
      <c r="D72" s="126"/>
      <c r="E72" s="120"/>
      <c r="G72" s="117"/>
    </row>
    <row r="73" spans="1:8" ht="15.75" x14ac:dyDescent="0.25">
      <c r="A73" s="128"/>
      <c r="B73" s="129"/>
      <c r="C73" s="129"/>
      <c r="D73" s="130"/>
      <c r="E73" s="131"/>
      <c r="G73" s="117"/>
    </row>
    <row r="74" spans="1:8" ht="15.75" x14ac:dyDescent="0.25">
      <c r="A74" s="132"/>
      <c r="B74" s="133"/>
      <c r="C74" s="133"/>
      <c r="D74" s="134"/>
      <c r="E74" s="135"/>
      <c r="G74" s="117"/>
    </row>
    <row r="75" spans="1:8" ht="15.75" x14ac:dyDescent="0.25">
      <c r="A75" s="132"/>
      <c r="B75" s="133"/>
      <c r="C75" s="133"/>
      <c r="D75" s="134"/>
      <c r="E75" s="135"/>
      <c r="G75" s="117"/>
    </row>
    <row r="76" spans="1:8" ht="16.5" thickBot="1" x14ac:dyDescent="0.3">
      <c r="A76" s="132"/>
      <c r="B76" s="180"/>
      <c r="C76" s="133"/>
      <c r="D76" s="134"/>
      <c r="E76" s="136"/>
      <c r="G76" s="117"/>
      <c r="H76" s="115"/>
    </row>
    <row r="77" spans="1:8" ht="16.5" thickBot="1" x14ac:dyDescent="0.3">
      <c r="A77" s="159"/>
      <c r="B77" s="124"/>
      <c r="C77" s="125"/>
      <c r="D77" s="126"/>
      <c r="E77" s="120"/>
    </row>
    <row r="78" spans="1:8" ht="15.75" x14ac:dyDescent="0.25">
      <c r="A78" s="128"/>
      <c r="B78" s="129"/>
      <c r="C78" s="129"/>
      <c r="D78" s="130"/>
      <c r="E78" s="131"/>
    </row>
    <row r="79" spans="1:8" ht="15.75" x14ac:dyDescent="0.25">
      <c r="A79" s="132"/>
      <c r="B79" s="133"/>
      <c r="C79" s="133"/>
      <c r="D79" s="134"/>
      <c r="E79" s="135"/>
    </row>
    <row r="80" spans="1:8" ht="15.75" x14ac:dyDescent="0.25">
      <c r="A80" s="132"/>
      <c r="B80" s="133"/>
      <c r="C80" s="133"/>
      <c r="D80" s="134"/>
      <c r="E80" s="135"/>
    </row>
    <row r="81" spans="1:9" ht="16.5" thickBot="1" x14ac:dyDescent="0.3">
      <c r="A81" s="132"/>
      <c r="B81" s="180"/>
      <c r="C81" s="133"/>
      <c r="D81" s="134"/>
      <c r="E81" s="136"/>
    </row>
    <row r="82" spans="1:9" ht="16.5" thickBot="1" x14ac:dyDescent="0.3">
      <c r="A82" s="159"/>
      <c r="B82" s="124"/>
      <c r="C82" s="125"/>
      <c r="D82" s="126"/>
      <c r="E82" s="120"/>
    </row>
    <row r="83" spans="1:9" ht="15.75" x14ac:dyDescent="0.25">
      <c r="A83" s="128"/>
      <c r="B83" s="129"/>
      <c r="C83" s="129"/>
      <c r="D83" s="130"/>
      <c r="E83" s="131"/>
    </row>
    <row r="84" spans="1:9" ht="15.75" x14ac:dyDescent="0.25">
      <c r="A84" s="132"/>
      <c r="B84" s="133"/>
      <c r="C84" s="133"/>
      <c r="D84" s="134"/>
      <c r="E84" s="135"/>
    </row>
    <row r="85" spans="1:9" ht="15.75" x14ac:dyDescent="0.25">
      <c r="A85" s="132"/>
      <c r="B85" s="133"/>
      <c r="C85" s="133"/>
      <c r="D85" s="134"/>
      <c r="E85" s="135"/>
    </row>
    <row r="86" spans="1:9" ht="16.5" thickBot="1" x14ac:dyDescent="0.3">
      <c r="A86" s="132"/>
      <c r="B86" s="180"/>
      <c r="C86" s="133"/>
      <c r="D86" s="134"/>
      <c r="E86" s="136"/>
      <c r="F86" s="107"/>
      <c r="G86" s="110"/>
    </row>
    <row r="87" spans="1:9" ht="16.5" thickBot="1" x14ac:dyDescent="0.3">
      <c r="A87" s="184"/>
      <c r="B87" s="216"/>
      <c r="C87" s="124"/>
      <c r="D87" s="185"/>
      <c r="E87" s="186"/>
      <c r="F87" s="100"/>
      <c r="G87" s="100"/>
    </row>
    <row r="88" spans="1:9" ht="15.75" x14ac:dyDescent="0.25">
      <c r="A88" s="187"/>
      <c r="B88" s="129"/>
      <c r="C88" s="129"/>
      <c r="D88" s="130"/>
      <c r="E88" s="131"/>
      <c r="F88" s="108"/>
      <c r="G88" s="110"/>
    </row>
    <row r="89" spans="1:9" ht="15.75" x14ac:dyDescent="0.25">
      <c r="A89" s="188"/>
      <c r="B89" s="189"/>
      <c r="C89" s="189"/>
      <c r="D89" s="173"/>
      <c r="E89" s="190"/>
      <c r="F89" s="108"/>
      <c r="G89" s="110"/>
    </row>
    <row r="90" spans="1:9" ht="15.75" x14ac:dyDescent="0.25">
      <c r="A90" s="132"/>
      <c r="B90" s="133"/>
      <c r="C90" s="133"/>
      <c r="D90" s="134"/>
      <c r="E90" s="135"/>
      <c r="F90" s="108"/>
      <c r="G90" s="110"/>
    </row>
    <row r="91" spans="1:9" ht="15.75" x14ac:dyDescent="0.25">
      <c r="A91" s="132"/>
      <c r="B91" s="133"/>
      <c r="C91" s="133"/>
      <c r="D91" s="134"/>
      <c r="E91" s="136"/>
      <c r="F91" s="100"/>
      <c r="G91" s="110"/>
      <c r="I91" s="115"/>
    </row>
    <row r="92" spans="1:9" ht="15.75" x14ac:dyDescent="0.25">
      <c r="A92" s="132"/>
      <c r="B92" s="133"/>
      <c r="C92" s="133"/>
      <c r="D92" s="137"/>
      <c r="E92" s="136"/>
      <c r="F92" s="100"/>
      <c r="G92" s="110"/>
    </row>
    <row r="93" spans="1:9" ht="16.5" thickBot="1" x14ac:dyDescent="0.3">
      <c r="A93" s="138"/>
      <c r="B93" s="139"/>
      <c r="C93" s="139"/>
      <c r="D93" s="140"/>
      <c r="E93" s="141"/>
      <c r="F93" s="100"/>
      <c r="G93" s="107"/>
    </row>
    <row r="94" spans="1:9" ht="15.75" x14ac:dyDescent="0.25">
      <c r="A94" s="191"/>
      <c r="B94" s="192"/>
      <c r="C94" s="192"/>
      <c r="D94" s="193"/>
      <c r="E94" s="169"/>
      <c r="F94" s="100"/>
      <c r="G94" s="110"/>
    </row>
    <row r="95" spans="1:9" ht="16.5" thickBot="1" x14ac:dyDescent="0.3">
      <c r="A95" s="194"/>
      <c r="B95" s="195"/>
      <c r="C95" s="196"/>
      <c r="D95" s="197"/>
      <c r="E95" s="198"/>
    </row>
    <row r="96" spans="1:9" ht="16.5" thickBot="1" x14ac:dyDescent="0.3">
      <c r="A96" s="123"/>
      <c r="B96" s="165"/>
      <c r="C96" s="166"/>
      <c r="D96" s="126"/>
      <c r="E96" s="120"/>
    </row>
    <row r="97" spans="1:9" ht="15.75" x14ac:dyDescent="0.25">
      <c r="A97" s="128"/>
      <c r="B97" s="129"/>
      <c r="C97" s="129"/>
      <c r="D97" s="199"/>
      <c r="E97" s="131"/>
    </row>
    <row r="98" spans="1:9" ht="15.75" x14ac:dyDescent="0.25">
      <c r="A98" s="132"/>
      <c r="B98" s="133"/>
      <c r="C98" s="133"/>
      <c r="D98" s="200"/>
      <c r="E98" s="135"/>
      <c r="F98" s="117"/>
    </row>
    <row r="99" spans="1:9" ht="15.75" x14ac:dyDescent="0.25">
      <c r="A99" s="132"/>
      <c r="B99" s="133"/>
      <c r="C99" s="189"/>
      <c r="D99" s="134"/>
      <c r="E99" s="135"/>
      <c r="F99" s="117"/>
    </row>
    <row r="100" spans="1:9" ht="15.75" x14ac:dyDescent="0.25">
      <c r="A100" s="132"/>
      <c r="B100" s="174"/>
      <c r="C100" s="201"/>
      <c r="D100" s="202"/>
      <c r="E100" s="176"/>
      <c r="F100" s="117"/>
    </row>
    <row r="101" spans="1:9" ht="15.75" x14ac:dyDescent="0.25">
      <c r="A101" s="132"/>
      <c r="B101" s="133"/>
      <c r="C101" s="133"/>
      <c r="D101" s="137"/>
      <c r="E101" s="136"/>
      <c r="F101" s="117"/>
    </row>
    <row r="102" spans="1:9" ht="16.5" thickBot="1" x14ac:dyDescent="0.3">
      <c r="A102" s="138"/>
      <c r="B102" s="139"/>
      <c r="C102" s="139"/>
      <c r="D102" s="140"/>
      <c r="E102" s="141"/>
      <c r="F102" s="117"/>
    </row>
    <row r="103" spans="1:9" ht="16.5" thickBot="1" x14ac:dyDescent="0.3">
      <c r="A103" s="167"/>
      <c r="B103" s="168"/>
      <c r="C103" s="168"/>
      <c r="D103" s="168"/>
      <c r="E103" s="169"/>
      <c r="I103" s="115"/>
    </row>
    <row r="104" spans="1:9" ht="16.5" thickBot="1" x14ac:dyDescent="0.3">
      <c r="A104" s="170"/>
      <c r="B104" s="203"/>
      <c r="C104" s="204"/>
      <c r="D104" s="205"/>
      <c r="E104" s="172"/>
    </row>
    <row r="105" spans="1:9" ht="15.75" x14ac:dyDescent="0.25">
      <c r="A105" s="127"/>
      <c r="B105" s="206"/>
      <c r="C105" s="207"/>
      <c r="D105" s="173"/>
      <c r="E105" s="131"/>
    </row>
    <row r="106" spans="1:9" ht="15.75" x14ac:dyDescent="0.25">
      <c r="A106" s="132"/>
      <c r="B106" s="167"/>
      <c r="C106" s="207"/>
      <c r="D106" s="173"/>
      <c r="E106" s="135"/>
    </row>
    <row r="107" spans="1:9" ht="15.75" x14ac:dyDescent="0.25">
      <c r="A107" s="132"/>
      <c r="B107" s="174"/>
      <c r="C107" s="207"/>
      <c r="D107" s="173"/>
      <c r="E107" s="135"/>
    </row>
    <row r="108" spans="1:9" ht="15.75" x14ac:dyDescent="0.25">
      <c r="A108" s="132"/>
      <c r="B108" s="174"/>
      <c r="C108" s="207"/>
      <c r="D108" s="173"/>
      <c r="E108" s="136"/>
    </row>
    <row r="109" spans="1:9" ht="15.75" x14ac:dyDescent="0.25">
      <c r="A109" s="175"/>
      <c r="B109" s="174"/>
      <c r="C109" s="207"/>
      <c r="D109" s="208"/>
      <c r="E109" s="176"/>
    </row>
    <row r="110" spans="1:9" ht="16.5" thickBot="1" x14ac:dyDescent="0.3">
      <c r="A110" s="138"/>
      <c r="B110" s="138"/>
      <c r="C110" s="209"/>
      <c r="D110" s="177"/>
      <c r="E110" s="141"/>
    </row>
    <row r="111" spans="1:9" ht="16.5" thickBot="1" x14ac:dyDescent="0.3">
      <c r="A111" s="210"/>
      <c r="B111" s="211"/>
      <c r="C111" s="211"/>
      <c r="D111" s="212"/>
      <c r="E111" s="213"/>
    </row>
    <row r="112" spans="1:9" ht="16.5" thickBot="1" x14ac:dyDescent="0.3">
      <c r="A112" s="170"/>
      <c r="B112" s="203"/>
      <c r="C112" s="204"/>
      <c r="D112" s="205"/>
      <c r="E112" s="172"/>
    </row>
    <row r="113" spans="1:5" ht="15.75" x14ac:dyDescent="0.25">
      <c r="A113" s="127"/>
      <c r="B113" s="206"/>
      <c r="C113" s="207"/>
      <c r="D113" s="173"/>
      <c r="E113" s="131"/>
    </row>
    <row r="114" spans="1:5" ht="15.75" x14ac:dyDescent="0.25">
      <c r="A114" s="132"/>
      <c r="B114" s="167"/>
      <c r="C114" s="207"/>
      <c r="D114" s="173"/>
      <c r="E114" s="135"/>
    </row>
    <row r="115" spans="1:5" ht="15.75" x14ac:dyDescent="0.25">
      <c r="A115" s="132"/>
      <c r="B115" s="174"/>
      <c r="C115" s="207"/>
      <c r="D115" s="173"/>
      <c r="E115" s="135"/>
    </row>
    <row r="116" spans="1:5" ht="15.75" x14ac:dyDescent="0.25">
      <c r="A116" s="132"/>
      <c r="B116" s="174"/>
      <c r="C116" s="207"/>
      <c r="D116" s="173"/>
      <c r="E116" s="136"/>
    </row>
    <row r="117" spans="1:5" ht="15.75" x14ac:dyDescent="0.25">
      <c r="A117" s="175"/>
      <c r="B117" s="174"/>
      <c r="C117" s="207"/>
      <c r="D117" s="208"/>
      <c r="E117" s="176"/>
    </row>
    <row r="118" spans="1:5" ht="16.5" thickBot="1" x14ac:dyDescent="0.3">
      <c r="A118" s="138"/>
      <c r="B118" s="138"/>
      <c r="C118" s="209"/>
      <c r="D118" s="177"/>
      <c r="E118" s="141"/>
    </row>
    <row r="119" spans="1:5" x14ac:dyDescent="0.25">
      <c r="A119" s="102"/>
      <c r="B119" s="102"/>
      <c r="C119" s="102"/>
      <c r="D119" s="102"/>
      <c r="E119" s="102"/>
    </row>
    <row r="120" spans="1:5" x14ac:dyDescent="0.25">
      <c r="A120" s="102"/>
      <c r="B120" s="102"/>
      <c r="C120" s="102"/>
      <c r="D120" s="102"/>
      <c r="E120" s="102"/>
    </row>
    <row r="121" spans="1:5" x14ac:dyDescent="0.25">
      <c r="A121" s="102"/>
      <c r="B121" s="102"/>
      <c r="C121" s="102"/>
      <c r="D121" s="102"/>
      <c r="E121" s="102"/>
    </row>
    <row r="122" spans="1:5" x14ac:dyDescent="0.25">
      <c r="A122" s="102"/>
      <c r="B122" s="102"/>
      <c r="C122" s="102"/>
      <c r="D122" s="102"/>
      <c r="E122" s="102"/>
    </row>
    <row r="123" spans="1:5" ht="15.75" x14ac:dyDescent="0.25">
      <c r="A123" s="88"/>
      <c r="B123" s="168"/>
      <c r="C123" s="168"/>
      <c r="D123" s="214"/>
      <c r="E123" s="215"/>
    </row>
    <row r="124" spans="1:5" ht="15.75" x14ac:dyDescent="0.25">
      <c r="B124" s="100"/>
      <c r="C124" s="100"/>
      <c r="D124" s="100"/>
      <c r="E124" s="100"/>
    </row>
    <row r="125" spans="1:5" ht="15.75" x14ac:dyDescent="0.25">
      <c r="B125" s="100"/>
      <c r="C125" s="100"/>
      <c r="D125" s="107"/>
      <c r="E125" s="108"/>
    </row>
    <row r="126" spans="1:5" ht="15.75" x14ac:dyDescent="0.25">
      <c r="B126" s="109"/>
      <c r="C126" s="100"/>
      <c r="D126" s="107"/>
      <c r="E126" s="108"/>
    </row>
    <row r="127" spans="1:5" ht="15.75" x14ac:dyDescent="0.25">
      <c r="B127" s="100"/>
      <c r="C127" s="100"/>
      <c r="D127" s="107"/>
      <c r="E127" s="108"/>
    </row>
    <row r="128" spans="1:5" ht="15.75" x14ac:dyDescent="0.25">
      <c r="B128" s="100"/>
      <c r="C128" s="100"/>
      <c r="D128" s="100"/>
      <c r="E128" s="100"/>
    </row>
    <row r="129" spans="2:5" ht="15.75" x14ac:dyDescent="0.25">
      <c r="B129" s="100"/>
      <c r="C129" s="100"/>
      <c r="D129" s="107"/>
      <c r="E129" s="100"/>
    </row>
    <row r="130" spans="2:5" ht="15.75" x14ac:dyDescent="0.25">
      <c r="B130" s="100"/>
      <c r="C130" s="100"/>
      <c r="D130" s="100"/>
      <c r="E130" s="100"/>
    </row>
    <row r="131" spans="2:5" ht="15.75" x14ac:dyDescent="0.25">
      <c r="B131" s="100"/>
      <c r="C131" s="100"/>
      <c r="D131" s="100"/>
      <c r="E131" s="100"/>
    </row>
  </sheetData>
  <mergeCells count="4">
    <mergeCell ref="B3:D3"/>
    <mergeCell ref="E4:E6"/>
    <mergeCell ref="B45:D45"/>
    <mergeCell ref="E46:E48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:E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61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'3.2'!F50*1000</f>
        <v>1421325.1117055463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201036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0" workbookViewId="0">
      <selection activeCell="F30" sqref="F30"/>
    </sheetView>
  </sheetViews>
  <sheetFormatPr defaultRowHeight="15" x14ac:dyDescent="0.25"/>
  <cols>
    <col min="1" max="1" width="4.140625" customWidth="1"/>
    <col min="2" max="2" width="40.140625" customWidth="1"/>
    <col min="3" max="3" width="27.7109375" customWidth="1"/>
    <col min="5" max="5" width="16.7109375" customWidth="1"/>
    <col min="6" max="6" width="17" customWidth="1"/>
  </cols>
  <sheetData>
    <row r="1" spans="1:11" x14ac:dyDescent="0.25">
      <c r="A1" s="1" t="s">
        <v>30</v>
      </c>
      <c r="B1" s="2"/>
      <c r="C1" s="2"/>
      <c r="D1" s="2"/>
      <c r="E1" s="2"/>
      <c r="F1" s="2"/>
    </row>
    <row r="2" spans="1:11" x14ac:dyDescent="0.25">
      <c r="A2" s="1"/>
      <c r="B2" s="1" t="s">
        <v>65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11" ht="36" x14ac:dyDescent="0.35">
      <c r="A12" s="20"/>
      <c r="B12" s="12" t="s">
        <v>66</v>
      </c>
      <c r="C12" s="56" t="s">
        <v>50</v>
      </c>
      <c r="D12" s="11" t="s">
        <v>125</v>
      </c>
      <c r="E12" s="11"/>
      <c r="F12" s="21">
        <f>191*0.7*1.036*1.022</f>
        <v>141.56049039999999</v>
      </c>
      <c r="H12" s="49" t="s">
        <v>31</v>
      </c>
    </row>
    <row r="13" spans="1:11" ht="24" thickBot="1" x14ac:dyDescent="0.3">
      <c r="A13" s="20"/>
      <c r="B13" s="12" t="s">
        <v>46</v>
      </c>
      <c r="C13" s="56" t="s">
        <v>109</v>
      </c>
      <c r="D13" s="11"/>
      <c r="E13" s="12"/>
      <c r="F13" s="98"/>
    </row>
    <row r="14" spans="1:11" ht="16.5" thickBot="1" x14ac:dyDescent="0.3">
      <c r="A14" s="20"/>
      <c r="B14" s="54" t="s">
        <v>33</v>
      </c>
      <c r="C14" s="20"/>
      <c r="D14" s="11"/>
      <c r="E14" s="11"/>
      <c r="F14" s="21"/>
      <c r="H14" s="50" t="s">
        <v>34</v>
      </c>
      <c r="I14" s="51" t="s">
        <v>35</v>
      </c>
      <c r="J14" s="51" t="s">
        <v>36</v>
      </c>
      <c r="K14" s="51" t="s">
        <v>37</v>
      </c>
    </row>
    <row r="15" spans="1:11" ht="16.5" thickBot="1" x14ac:dyDescent="0.3">
      <c r="A15" s="15"/>
      <c r="B15" s="55" t="s">
        <v>110</v>
      </c>
      <c r="C15" s="15"/>
      <c r="D15" s="16"/>
      <c r="E15" s="16"/>
      <c r="F15" s="22"/>
      <c r="H15" s="52" t="s">
        <v>38</v>
      </c>
      <c r="I15" s="53" t="s">
        <v>39</v>
      </c>
      <c r="J15" s="53" t="s">
        <v>40</v>
      </c>
      <c r="K15" s="53" t="s">
        <v>41</v>
      </c>
    </row>
    <row r="16" spans="1:11" ht="16.5" thickBot="1" x14ac:dyDescent="0.3">
      <c r="A16" s="19">
        <v>3</v>
      </c>
      <c r="B16" s="12" t="s">
        <v>32</v>
      </c>
      <c r="C16" s="20" t="s">
        <v>10</v>
      </c>
      <c r="D16" s="11"/>
      <c r="E16" s="11"/>
      <c r="F16" s="21"/>
      <c r="H16" s="52" t="s">
        <v>42</v>
      </c>
      <c r="I16" s="53" t="s">
        <v>43</v>
      </c>
      <c r="J16" s="53" t="s">
        <v>44</v>
      </c>
      <c r="K16" s="53" t="s">
        <v>45</v>
      </c>
    </row>
    <row r="17" spans="1:6" x14ac:dyDescent="0.25">
      <c r="A17" s="20"/>
      <c r="B17" s="12" t="s">
        <v>66</v>
      </c>
      <c r="C17" s="98"/>
      <c r="D17" s="11" t="s">
        <v>126</v>
      </c>
      <c r="E17" s="11"/>
      <c r="F17" s="21">
        <f>191*0.2*1.036</f>
        <v>39.575200000000002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19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66</v>
      </c>
      <c r="C22" s="98"/>
      <c r="D22" s="11" t="s">
        <v>127</v>
      </c>
      <c r="E22" s="11"/>
      <c r="F22" s="21">
        <f>191*0.1*1.022</f>
        <v>19.520200000000003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F12+F22+F17</f>
        <v>200.65589039999998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200.65589039999998</v>
      </c>
      <c r="E29" s="28">
        <v>4.0000000000000002E-4</v>
      </c>
      <c r="F29" s="21">
        <f>E29*F26</f>
        <v>8.0262356159999992E-2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200.65589039999998</v>
      </c>
      <c r="E33" s="27">
        <v>2.1000000000000001E-2</v>
      </c>
      <c r="F33" s="21">
        <f>E33*F26</f>
        <v>4.2137736983999998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200.65589039999998</v>
      </c>
      <c r="E34" s="27">
        <v>0.03</v>
      </c>
      <c r="F34" s="21">
        <f>E34*F26</f>
        <v>6.019676711999999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210.96960316655998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187.13003800873869</v>
      </c>
      <c r="D43" s="38">
        <v>7.18</v>
      </c>
      <c r="E43" s="36">
        <f>C43*D43</f>
        <v>1343.5936729027437</v>
      </c>
      <c r="F43" s="36">
        <f>E43*1.09</f>
        <v>1464.5171034639907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1.0548480158328</v>
      </c>
      <c r="D45" s="38">
        <v>20.07</v>
      </c>
      <c r="E45" s="36">
        <f>C45*D45</f>
        <v>21.170799677764297</v>
      </c>
      <c r="F45" s="39">
        <f>E45*1.09</f>
        <v>23.076171648763086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22.784717141988477</v>
      </c>
      <c r="D47" s="38">
        <v>8.42</v>
      </c>
      <c r="E47" s="36">
        <f>C47*D47</f>
        <v>191.84731833554298</v>
      </c>
      <c r="F47" s="39">
        <f>E47*1.09</f>
        <v>209.11357698574187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210.96960316655995</v>
      </c>
      <c r="D49" s="42"/>
      <c r="E49" s="43">
        <f>E43+E45+E47</f>
        <v>1556.6117909160509</v>
      </c>
      <c r="F49" s="44">
        <f>F43+F45+F47</f>
        <v>1696.7068520984958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1696.7068520984958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:E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70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'3.3'!F50*1000</f>
        <v>1696706.8520984957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239987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B29" sqref="B29:F34"/>
    </sheetView>
  </sheetViews>
  <sheetFormatPr defaultRowHeight="15" x14ac:dyDescent="0.25"/>
  <cols>
    <col min="1" max="1" width="4.140625" customWidth="1"/>
    <col min="2" max="2" width="40.140625" customWidth="1"/>
    <col min="3" max="3" width="27.7109375" customWidth="1"/>
    <col min="5" max="5" width="16.7109375" customWidth="1"/>
    <col min="6" max="6" width="17" customWidth="1"/>
  </cols>
  <sheetData>
    <row r="1" spans="1:11" x14ac:dyDescent="0.25">
      <c r="A1" s="1" t="s">
        <v>30</v>
      </c>
      <c r="B1" s="2"/>
      <c r="C1" s="2"/>
      <c r="D1" s="2"/>
      <c r="E1" s="2"/>
      <c r="F1" s="2"/>
    </row>
    <row r="2" spans="1:11" x14ac:dyDescent="0.25">
      <c r="A2" s="1"/>
      <c r="B2" s="1" t="s">
        <v>67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11" ht="36" x14ac:dyDescent="0.35">
      <c r="A12" s="20"/>
      <c r="B12" s="12" t="s">
        <v>68</v>
      </c>
      <c r="C12" s="56" t="s">
        <v>50</v>
      </c>
      <c r="D12" s="11" t="s">
        <v>128</v>
      </c>
      <c r="E12" s="11"/>
      <c r="F12" s="21">
        <f>212*0.7*1.036*1.022</f>
        <v>157.12473279999998</v>
      </c>
      <c r="H12" s="49" t="s">
        <v>31</v>
      </c>
    </row>
    <row r="13" spans="1:11" ht="24" thickBot="1" x14ac:dyDescent="0.3">
      <c r="A13" s="20"/>
      <c r="B13" s="12" t="s">
        <v>46</v>
      </c>
      <c r="C13" s="56" t="s">
        <v>109</v>
      </c>
      <c r="D13" s="11"/>
      <c r="E13" s="12"/>
      <c r="F13" s="98"/>
    </row>
    <row r="14" spans="1:11" ht="16.5" thickBot="1" x14ac:dyDescent="0.3">
      <c r="A14" s="20"/>
      <c r="B14" s="54" t="s">
        <v>33</v>
      </c>
      <c r="C14" s="20"/>
      <c r="D14" s="11"/>
      <c r="E14" s="11"/>
      <c r="F14" s="21"/>
      <c r="H14" s="50" t="s">
        <v>34</v>
      </c>
      <c r="I14" s="51" t="s">
        <v>35</v>
      </c>
      <c r="J14" s="51" t="s">
        <v>36</v>
      </c>
      <c r="K14" s="51" t="s">
        <v>37</v>
      </c>
    </row>
    <row r="15" spans="1:11" ht="16.5" thickBot="1" x14ac:dyDescent="0.3">
      <c r="A15" s="15"/>
      <c r="B15" s="55" t="s">
        <v>110</v>
      </c>
      <c r="C15" s="15"/>
      <c r="D15" s="16"/>
      <c r="E15" s="16"/>
      <c r="F15" s="22"/>
      <c r="H15" s="52" t="s">
        <v>38</v>
      </c>
      <c r="I15" s="53" t="s">
        <v>39</v>
      </c>
      <c r="J15" s="53" t="s">
        <v>40</v>
      </c>
      <c r="K15" s="53" t="s">
        <v>41</v>
      </c>
    </row>
    <row r="16" spans="1:11" ht="16.5" thickBot="1" x14ac:dyDescent="0.3">
      <c r="A16" s="19">
        <v>3</v>
      </c>
      <c r="B16" s="12" t="s">
        <v>32</v>
      </c>
      <c r="C16" s="20" t="s">
        <v>10</v>
      </c>
      <c r="D16" s="11"/>
      <c r="E16" s="11"/>
      <c r="F16" s="21"/>
      <c r="H16" s="52" t="s">
        <v>42</v>
      </c>
      <c r="I16" s="53" t="s">
        <v>43</v>
      </c>
      <c r="J16" s="53" t="s">
        <v>44</v>
      </c>
      <c r="K16" s="53" t="s">
        <v>45</v>
      </c>
    </row>
    <row r="17" spans="1:6" x14ac:dyDescent="0.25">
      <c r="A17" s="20"/>
      <c r="B17" s="12" t="s">
        <v>68</v>
      </c>
      <c r="C17" s="98"/>
      <c r="D17" s="11" t="s">
        <v>129</v>
      </c>
      <c r="E17" s="11"/>
      <c r="F17" s="21">
        <f>212*0.2*1.036</f>
        <v>43.926400000000008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19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68</v>
      </c>
      <c r="C22" s="98"/>
      <c r="D22" s="11" t="s">
        <v>130</v>
      </c>
      <c r="E22" s="11"/>
      <c r="F22" s="21">
        <f>212*0.1*1.022</f>
        <v>21.666400000000003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F12+F22+F17</f>
        <v>222.71753279999999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222.71753279999999</v>
      </c>
      <c r="E29" s="28">
        <v>4.0000000000000002E-4</v>
      </c>
      <c r="F29" s="21">
        <f>E29*F26</f>
        <v>8.9087013120000003E-2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222.71753279999999</v>
      </c>
      <c r="E33" s="27">
        <v>2.1000000000000001E-2</v>
      </c>
      <c r="F33" s="21">
        <f>E33*F26</f>
        <v>4.6770681887999999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222.71753279999999</v>
      </c>
      <c r="E34" s="27">
        <v>0.03</v>
      </c>
      <c r="F34" s="21">
        <f>E34*F26</f>
        <v>6.6815259839999994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234.16521398591999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207.70454480551103</v>
      </c>
      <c r="D43" s="38">
        <v>7.18</v>
      </c>
      <c r="E43" s="36">
        <f>C43*D43</f>
        <v>1491.3186317035691</v>
      </c>
      <c r="F43" s="36">
        <f>E43*1.09</f>
        <v>1625.5373085568904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1.1708260699296</v>
      </c>
      <c r="D45" s="38">
        <v>20.07</v>
      </c>
      <c r="E45" s="36">
        <f>C45*D45</f>
        <v>23.498479223487074</v>
      </c>
      <c r="F45" s="39">
        <f>E45*1.09</f>
        <v>25.613342353600913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25.28984311047936</v>
      </c>
      <c r="D47" s="38">
        <v>8.42</v>
      </c>
      <c r="E47" s="36">
        <f>C47*D47</f>
        <v>212.94047899023622</v>
      </c>
      <c r="F47" s="39">
        <f>E47*1.09</f>
        <v>232.10512209935749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234.16521398591999</v>
      </c>
      <c r="D49" s="42"/>
      <c r="E49" s="43">
        <f>E43+E45+E47</f>
        <v>1727.7575899172923</v>
      </c>
      <c r="F49" s="44">
        <f>F43+F45+F47</f>
        <v>1883.2557730098488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1883.2557730098488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8" sqref="E8:E9"/>
    </sheetView>
  </sheetViews>
  <sheetFormatPr defaultRowHeight="15" x14ac:dyDescent="0.25"/>
  <cols>
    <col min="1" max="1" width="5.42578125" customWidth="1"/>
    <col min="2" max="2" width="25.85546875" customWidth="1"/>
    <col min="3" max="3" width="12.28515625" customWidth="1"/>
    <col min="4" max="4" width="15.28515625" customWidth="1"/>
    <col min="5" max="5" width="36" customWidth="1"/>
  </cols>
  <sheetData>
    <row r="1" spans="1:5" x14ac:dyDescent="0.25">
      <c r="A1" s="220" t="s">
        <v>52</v>
      </c>
      <c r="B1" s="220"/>
      <c r="C1" s="220"/>
      <c r="D1" s="220"/>
      <c r="E1" s="220"/>
    </row>
    <row r="2" spans="1:5" x14ac:dyDescent="0.25">
      <c r="A2" s="57"/>
      <c r="B2" s="58"/>
      <c r="C2" s="59"/>
      <c r="D2" s="59"/>
      <c r="E2" s="59"/>
    </row>
    <row r="3" spans="1:5" ht="50.25" customHeight="1" x14ac:dyDescent="0.25">
      <c r="A3" s="221" t="s">
        <v>69</v>
      </c>
      <c r="B3" s="221"/>
      <c r="C3" s="221"/>
      <c r="D3" s="221"/>
      <c r="E3" s="221"/>
    </row>
    <row r="4" spans="1:5" ht="15.75" customHeight="1" x14ac:dyDescent="0.25">
      <c r="A4" s="221" t="s">
        <v>62</v>
      </c>
      <c r="B4" s="221"/>
      <c r="C4" s="221"/>
      <c r="D4" s="221"/>
      <c r="E4" s="221"/>
    </row>
    <row r="5" spans="1:5" ht="15.75" x14ac:dyDescent="0.25">
      <c r="A5" s="221"/>
      <c r="B5" s="221"/>
      <c r="C5" s="221"/>
      <c r="D5" s="221"/>
      <c r="E5" s="221"/>
    </row>
    <row r="6" spans="1:5" x14ac:dyDescent="0.25">
      <c r="A6" s="57"/>
      <c r="B6" s="58"/>
      <c r="C6" s="59"/>
      <c r="D6" s="59"/>
      <c r="E6" s="59"/>
    </row>
    <row r="7" spans="1:5" ht="31.5" x14ac:dyDescent="0.25">
      <c r="A7" s="60" t="s">
        <v>53</v>
      </c>
      <c r="B7" s="61" t="s">
        <v>54</v>
      </c>
      <c r="C7" s="62" t="s">
        <v>55</v>
      </c>
      <c r="D7" s="62" t="s">
        <v>56</v>
      </c>
      <c r="E7" s="62" t="s">
        <v>57</v>
      </c>
    </row>
    <row r="8" spans="1:5" ht="63" x14ac:dyDescent="0.25">
      <c r="A8" s="62">
        <v>1</v>
      </c>
      <c r="B8" s="63" t="s">
        <v>77</v>
      </c>
      <c r="C8" s="62" t="s">
        <v>58</v>
      </c>
      <c r="D8" s="64">
        <f>'3.4'!F50*1000</f>
        <v>1883255.7730098488</v>
      </c>
      <c r="E8" s="65" t="s">
        <v>182</v>
      </c>
    </row>
    <row r="9" spans="1:5" ht="78.75" x14ac:dyDescent="0.25">
      <c r="A9" s="62">
        <v>2</v>
      </c>
      <c r="B9" s="66" t="s">
        <v>183</v>
      </c>
      <c r="C9" s="67" t="s">
        <v>59</v>
      </c>
      <c r="D9" s="64">
        <v>7.07</v>
      </c>
      <c r="E9" s="66" t="s">
        <v>184</v>
      </c>
    </row>
    <row r="10" spans="1:5" ht="31.5" x14ac:dyDescent="0.25">
      <c r="A10" s="62">
        <v>3</v>
      </c>
      <c r="B10" s="68" t="s">
        <v>60</v>
      </c>
      <c r="C10" s="69" t="s">
        <v>58</v>
      </c>
      <c r="D10" s="70">
        <f>ROUND(D8/D9,0)</f>
        <v>266373</v>
      </c>
      <c r="E10" s="66"/>
    </row>
    <row r="12" spans="1:5" ht="15.75" x14ac:dyDescent="0.25">
      <c r="A12" s="49" t="s">
        <v>155</v>
      </c>
    </row>
    <row r="13" spans="1:5" x14ac:dyDescent="0.25">
      <c r="A13" s="57"/>
    </row>
    <row r="14" spans="1:5" x14ac:dyDescent="0.25">
      <c r="A14" s="54" t="s">
        <v>156</v>
      </c>
    </row>
  </sheetData>
  <mergeCells count="4">
    <mergeCell ref="A1:E1"/>
    <mergeCell ref="A3:E3"/>
    <mergeCell ref="A4:E4"/>
    <mergeCell ref="A5:E5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29" sqref="B29:F34"/>
    </sheetView>
  </sheetViews>
  <sheetFormatPr defaultRowHeight="15" x14ac:dyDescent="0.25"/>
  <cols>
    <col min="1" max="1" width="4.28515625" customWidth="1"/>
    <col min="2" max="2" width="38.42578125" customWidth="1"/>
    <col min="3" max="3" width="22.28515625" customWidth="1"/>
    <col min="5" max="5" width="11.85546875" customWidth="1"/>
    <col min="6" max="6" width="12.5703125" customWidth="1"/>
  </cols>
  <sheetData>
    <row r="1" spans="1:11" x14ac:dyDescent="0.25">
      <c r="A1" s="1" t="s">
        <v>30</v>
      </c>
      <c r="B1" s="2"/>
      <c r="C1" s="2"/>
      <c r="D1" s="2"/>
      <c r="E1" s="2"/>
      <c r="F1" s="2"/>
    </row>
    <row r="2" spans="1:11" x14ac:dyDescent="0.25">
      <c r="A2" s="1"/>
      <c r="B2" s="1" t="s">
        <v>171</v>
      </c>
      <c r="C2" s="1"/>
      <c r="D2" s="1"/>
      <c r="E2" s="1"/>
      <c r="F2" s="1"/>
    </row>
    <row r="3" spans="1:11" x14ac:dyDescent="0.25">
      <c r="A3" s="1"/>
      <c r="B3" s="1" t="s">
        <v>0</v>
      </c>
      <c r="C3" s="1"/>
      <c r="D3" s="1"/>
      <c r="E3" s="1"/>
      <c r="F3" s="1"/>
    </row>
    <row r="5" spans="1:11" x14ac:dyDescent="0.25">
      <c r="A5" s="3" t="s">
        <v>1</v>
      </c>
      <c r="B5" s="4" t="s">
        <v>2</v>
      </c>
      <c r="C5" s="5" t="s">
        <v>3</v>
      </c>
      <c r="D5" s="3"/>
      <c r="E5" s="6" t="s">
        <v>4</v>
      </c>
      <c r="F5" s="7" t="s">
        <v>5</v>
      </c>
    </row>
    <row r="6" spans="1:11" x14ac:dyDescent="0.25">
      <c r="A6" s="9"/>
      <c r="B6" s="10"/>
      <c r="C6" s="11"/>
      <c r="D6" s="9"/>
      <c r="E6" s="12"/>
      <c r="F6" s="13" t="s">
        <v>6</v>
      </c>
    </row>
    <row r="7" spans="1:11" x14ac:dyDescent="0.25">
      <c r="A7" s="14" t="s">
        <v>7</v>
      </c>
      <c r="B7" s="15"/>
      <c r="C7" s="16"/>
      <c r="D7" s="14"/>
      <c r="E7" s="17"/>
      <c r="F7" s="18" t="s">
        <v>8</v>
      </c>
    </row>
    <row r="8" spans="1:11" x14ac:dyDescent="0.25">
      <c r="A8" s="3"/>
      <c r="B8" s="19"/>
      <c r="C8" s="11"/>
      <c r="D8" s="9"/>
      <c r="E8" s="12"/>
      <c r="F8" s="13"/>
    </row>
    <row r="9" spans="1:11" x14ac:dyDescent="0.25">
      <c r="A9" s="9">
        <v>1</v>
      </c>
      <c r="B9" s="20" t="s">
        <v>9</v>
      </c>
      <c r="C9" s="8"/>
      <c r="D9" s="9"/>
      <c r="E9" s="12"/>
      <c r="F9" s="13">
        <v>0</v>
      </c>
    </row>
    <row r="10" spans="1:11" x14ac:dyDescent="0.25">
      <c r="A10" s="14"/>
      <c r="B10" s="15"/>
      <c r="C10" s="16"/>
      <c r="D10" s="14"/>
      <c r="E10" s="17"/>
      <c r="F10" s="18"/>
    </row>
    <row r="11" spans="1:11" x14ac:dyDescent="0.25">
      <c r="A11" s="20">
        <v>2</v>
      </c>
      <c r="B11" s="12" t="s">
        <v>32</v>
      </c>
      <c r="C11" s="20" t="s">
        <v>48</v>
      </c>
      <c r="D11" s="11"/>
      <c r="E11" s="11"/>
      <c r="F11" s="20"/>
    </row>
    <row r="12" spans="1:11" ht="36" x14ac:dyDescent="0.35">
      <c r="A12" s="20"/>
      <c r="B12" s="12" t="s">
        <v>170</v>
      </c>
      <c r="C12" s="56" t="s">
        <v>50</v>
      </c>
      <c r="D12" s="11" t="s">
        <v>174</v>
      </c>
      <c r="E12" s="11"/>
      <c r="F12" s="21">
        <f>243*0.7*1.036*1.022</f>
        <v>180.10051920000001</v>
      </c>
      <c r="H12" s="49" t="s">
        <v>31</v>
      </c>
    </row>
    <row r="13" spans="1:11" ht="24" thickBot="1" x14ac:dyDescent="0.3">
      <c r="A13" s="20"/>
      <c r="B13" s="12" t="s">
        <v>46</v>
      </c>
      <c r="C13" s="56" t="s">
        <v>109</v>
      </c>
      <c r="D13" s="11"/>
      <c r="E13" s="12"/>
      <c r="F13" s="98"/>
    </row>
    <row r="14" spans="1:11" ht="16.5" thickBot="1" x14ac:dyDescent="0.3">
      <c r="A14" s="20"/>
      <c r="B14" s="54" t="s">
        <v>33</v>
      </c>
      <c r="C14" s="20"/>
      <c r="D14" s="11"/>
      <c r="E14" s="11"/>
      <c r="F14" s="21"/>
      <c r="H14" s="50" t="s">
        <v>34</v>
      </c>
      <c r="I14" s="51" t="s">
        <v>35</v>
      </c>
      <c r="J14" s="51" t="s">
        <v>36</v>
      </c>
      <c r="K14" s="51" t="s">
        <v>37</v>
      </c>
    </row>
    <row r="15" spans="1:11" ht="16.5" thickBot="1" x14ac:dyDescent="0.3">
      <c r="A15" s="15"/>
      <c r="B15" s="55" t="s">
        <v>110</v>
      </c>
      <c r="C15" s="15"/>
      <c r="D15" s="16"/>
      <c r="E15" s="16"/>
      <c r="F15" s="22"/>
      <c r="H15" s="52" t="s">
        <v>38</v>
      </c>
      <c r="I15" s="53" t="s">
        <v>39</v>
      </c>
      <c r="J15" s="53" t="s">
        <v>40</v>
      </c>
      <c r="K15" s="53" t="s">
        <v>41</v>
      </c>
    </row>
    <row r="16" spans="1:11" ht="16.5" thickBot="1" x14ac:dyDescent="0.3">
      <c r="A16" s="19">
        <v>3</v>
      </c>
      <c r="B16" s="12" t="s">
        <v>32</v>
      </c>
      <c r="C16" s="20" t="s">
        <v>10</v>
      </c>
      <c r="D16" s="11"/>
      <c r="E16" s="11"/>
      <c r="F16" s="21"/>
      <c r="H16" s="52" t="s">
        <v>42</v>
      </c>
      <c r="I16" s="53" t="s">
        <v>43</v>
      </c>
      <c r="J16" s="53" t="s">
        <v>44</v>
      </c>
      <c r="K16" s="53" t="s">
        <v>45</v>
      </c>
    </row>
    <row r="17" spans="1:6" x14ac:dyDescent="0.25">
      <c r="A17" s="20"/>
      <c r="B17" s="12" t="s">
        <v>172</v>
      </c>
      <c r="C17" s="98"/>
      <c r="D17" s="11" t="s">
        <v>175</v>
      </c>
      <c r="E17" s="11"/>
      <c r="F17" s="21">
        <f>267*0.2*1.036</f>
        <v>55.322400000000009</v>
      </c>
    </row>
    <row r="18" spans="1:6" ht="34.5" x14ac:dyDescent="0.25">
      <c r="A18" s="20"/>
      <c r="B18" s="12" t="s">
        <v>46</v>
      </c>
      <c r="C18" s="56" t="s">
        <v>50</v>
      </c>
      <c r="D18" s="11"/>
      <c r="E18" s="11"/>
      <c r="F18" s="21"/>
    </row>
    <row r="19" spans="1:6" x14ac:dyDescent="0.25">
      <c r="A19" s="20"/>
      <c r="B19" s="54" t="s">
        <v>33</v>
      </c>
      <c r="C19" s="20"/>
      <c r="D19" s="11"/>
      <c r="E19" s="11"/>
      <c r="F19" s="21"/>
    </row>
    <row r="20" spans="1:6" x14ac:dyDescent="0.25">
      <c r="A20" s="15"/>
      <c r="B20" s="75" t="s">
        <v>116</v>
      </c>
      <c r="C20" s="15"/>
      <c r="D20" s="16"/>
      <c r="E20" s="16"/>
      <c r="F20" s="22"/>
    </row>
    <row r="21" spans="1:6" x14ac:dyDescent="0.25">
      <c r="A21" s="19">
        <v>4</v>
      </c>
      <c r="B21" s="12" t="s">
        <v>32</v>
      </c>
      <c r="C21" s="20" t="s">
        <v>10</v>
      </c>
      <c r="D21" s="11"/>
      <c r="E21" s="11"/>
      <c r="F21" s="21"/>
    </row>
    <row r="22" spans="1:6" x14ac:dyDescent="0.25">
      <c r="A22" s="20"/>
      <c r="B22" s="12" t="s">
        <v>173</v>
      </c>
      <c r="C22" s="98"/>
      <c r="D22" s="11" t="s">
        <v>176</v>
      </c>
      <c r="E22" s="11"/>
      <c r="F22" s="21">
        <f>267*0.1*1.022</f>
        <v>27.287400000000002</v>
      </c>
    </row>
    <row r="23" spans="1:6" ht="23.25" x14ac:dyDescent="0.25">
      <c r="A23" s="20"/>
      <c r="B23" s="12" t="s">
        <v>46</v>
      </c>
      <c r="C23" s="56" t="s">
        <v>109</v>
      </c>
      <c r="D23" s="11"/>
      <c r="E23" s="11"/>
      <c r="F23" s="21"/>
    </row>
    <row r="24" spans="1:6" x14ac:dyDescent="0.25">
      <c r="A24" s="20"/>
      <c r="B24" s="54" t="s">
        <v>33</v>
      </c>
      <c r="C24" s="20"/>
      <c r="D24" s="11"/>
      <c r="E24" s="11"/>
      <c r="F24" s="21"/>
    </row>
    <row r="25" spans="1:6" x14ac:dyDescent="0.25">
      <c r="A25" s="15"/>
      <c r="B25" s="75" t="s">
        <v>117</v>
      </c>
      <c r="C25" s="15"/>
      <c r="D25" s="16"/>
      <c r="E25" s="16"/>
      <c r="F25" s="22"/>
    </row>
    <row r="26" spans="1:6" x14ac:dyDescent="0.25">
      <c r="A26" s="3"/>
      <c r="B26" s="19" t="s">
        <v>121</v>
      </c>
      <c r="C26" s="3"/>
      <c r="D26" s="5"/>
      <c r="E26" s="6"/>
      <c r="F26" s="24">
        <f>F12+F22+F17</f>
        <v>262.71031920000001</v>
      </c>
    </row>
    <row r="27" spans="1:6" x14ac:dyDescent="0.25">
      <c r="A27" s="9"/>
      <c r="B27" s="20"/>
      <c r="C27" s="14"/>
      <c r="D27" s="16"/>
      <c r="E27" s="17"/>
      <c r="F27" s="13"/>
    </row>
    <row r="28" spans="1:6" x14ac:dyDescent="0.25">
      <c r="A28" s="3"/>
      <c r="B28" s="19"/>
      <c r="C28" s="11"/>
      <c r="D28" s="3"/>
      <c r="E28" s="25"/>
      <c r="F28" s="23"/>
    </row>
    <row r="29" spans="1:6" x14ac:dyDescent="0.25">
      <c r="A29" s="9"/>
      <c r="B29" s="20" t="s">
        <v>233</v>
      </c>
      <c r="C29" s="11" t="s">
        <v>49</v>
      </c>
      <c r="D29" s="26">
        <f>F26</f>
        <v>262.71031920000001</v>
      </c>
      <c r="E29" s="28">
        <v>4.0000000000000002E-4</v>
      </c>
      <c r="F29" s="21">
        <f>E29*F26</f>
        <v>0.10508412768000001</v>
      </c>
    </row>
    <row r="30" spans="1:6" x14ac:dyDescent="0.25">
      <c r="A30" s="9"/>
      <c r="B30" s="20" t="s">
        <v>11</v>
      </c>
      <c r="C30" s="8"/>
      <c r="D30" s="9"/>
      <c r="E30" s="28"/>
      <c r="F30" s="20"/>
    </row>
    <row r="31" spans="1:6" x14ac:dyDescent="0.25">
      <c r="A31" s="9"/>
      <c r="B31" s="20" t="s">
        <v>12</v>
      </c>
      <c r="C31" s="11"/>
      <c r="D31" s="9"/>
      <c r="E31" s="28"/>
      <c r="F31" s="29"/>
    </row>
    <row r="32" spans="1:6" x14ac:dyDescent="0.25">
      <c r="A32" s="9"/>
      <c r="B32" s="20" t="s">
        <v>13</v>
      </c>
      <c r="C32" s="11"/>
      <c r="D32" s="9"/>
      <c r="E32" s="28"/>
      <c r="F32" s="29"/>
    </row>
    <row r="33" spans="1:6" x14ac:dyDescent="0.25">
      <c r="A33" s="9"/>
      <c r="B33" s="20" t="s">
        <v>14</v>
      </c>
      <c r="C33" s="114" t="s">
        <v>234</v>
      </c>
      <c r="D33" s="26">
        <f>F26</f>
        <v>262.71031920000001</v>
      </c>
      <c r="E33" s="27">
        <v>2.1000000000000001E-2</v>
      </c>
      <c r="F33" s="21">
        <f>E33*F26</f>
        <v>5.5169167032000006</v>
      </c>
    </row>
    <row r="34" spans="1:6" x14ac:dyDescent="0.25">
      <c r="A34" s="9"/>
      <c r="B34" s="20" t="s">
        <v>15</v>
      </c>
      <c r="C34" s="11" t="s">
        <v>49</v>
      </c>
      <c r="D34" s="26">
        <f>F26</f>
        <v>262.71031920000001</v>
      </c>
      <c r="E34" s="27">
        <v>0.03</v>
      </c>
      <c r="F34" s="21">
        <f>E34*F26</f>
        <v>7.8813095760000005</v>
      </c>
    </row>
    <row r="35" spans="1:6" x14ac:dyDescent="0.25">
      <c r="A35" s="14"/>
      <c r="B35" s="15"/>
      <c r="C35" s="11"/>
      <c r="D35" s="9"/>
      <c r="E35" s="30"/>
      <c r="F35" s="29"/>
    </row>
    <row r="36" spans="1:6" x14ac:dyDescent="0.25">
      <c r="A36" s="31"/>
      <c r="B36" s="32" t="s">
        <v>16</v>
      </c>
      <c r="C36" s="31"/>
      <c r="D36" s="31"/>
      <c r="E36" s="33"/>
      <c r="F36" s="34">
        <f>F26+F29+F33+F34</f>
        <v>276.21362960688003</v>
      </c>
    </row>
    <row r="37" spans="1:6" x14ac:dyDescent="0.25">
      <c r="A37" s="11"/>
      <c r="B37" s="11"/>
      <c r="C37" s="11"/>
      <c r="D37" s="11"/>
      <c r="E37" s="11"/>
      <c r="F37" s="35"/>
    </row>
    <row r="38" spans="1:6" x14ac:dyDescent="0.25">
      <c r="A38" s="11"/>
      <c r="B38" s="11"/>
      <c r="C38" s="11"/>
      <c r="D38" s="11"/>
      <c r="E38" s="11"/>
      <c r="F38" s="35"/>
    </row>
    <row r="39" spans="1:6" x14ac:dyDescent="0.25">
      <c r="A39" s="3"/>
      <c r="B39" s="19" t="s">
        <v>17</v>
      </c>
      <c r="C39" s="5" t="s">
        <v>18</v>
      </c>
      <c r="D39" s="3" t="s">
        <v>19</v>
      </c>
      <c r="E39" s="19" t="s">
        <v>20</v>
      </c>
      <c r="F39" s="6" t="s">
        <v>21</v>
      </c>
    </row>
    <row r="40" spans="1:6" x14ac:dyDescent="0.25">
      <c r="A40" s="9"/>
      <c r="B40" s="20"/>
      <c r="C40" s="11"/>
      <c r="D40" s="9" t="s">
        <v>22</v>
      </c>
      <c r="E40" s="20" t="s">
        <v>180</v>
      </c>
      <c r="F40" s="12" t="s">
        <v>23</v>
      </c>
    </row>
    <row r="41" spans="1:6" x14ac:dyDescent="0.25">
      <c r="A41" s="14"/>
      <c r="B41" s="15" t="s">
        <v>24</v>
      </c>
      <c r="C41" s="16" t="s">
        <v>25</v>
      </c>
      <c r="D41" s="14" t="s">
        <v>26</v>
      </c>
      <c r="E41" s="15" t="s">
        <v>27</v>
      </c>
      <c r="F41" s="17" t="s">
        <v>28</v>
      </c>
    </row>
    <row r="42" spans="1:6" x14ac:dyDescent="0.25">
      <c r="A42" s="20"/>
      <c r="B42" s="20"/>
      <c r="C42" s="20"/>
      <c r="D42" s="11"/>
      <c r="E42" s="20"/>
      <c r="F42" s="36"/>
    </row>
    <row r="43" spans="1:6" x14ac:dyDescent="0.25">
      <c r="A43" s="20"/>
      <c r="B43" s="20" t="s">
        <v>167</v>
      </c>
      <c r="C43" s="37">
        <f>F36*0.887</f>
        <v>245.00148946130258</v>
      </c>
      <c r="D43" s="38">
        <v>7.18</v>
      </c>
      <c r="E43" s="36">
        <f>C43*D43</f>
        <v>1759.1106943321524</v>
      </c>
      <c r="F43" s="36">
        <f>E43*1.09</f>
        <v>1917.4306568220463</v>
      </c>
    </row>
    <row r="44" spans="1:6" x14ac:dyDescent="0.25">
      <c r="A44" s="20"/>
      <c r="B44" s="9"/>
      <c r="C44" s="37"/>
      <c r="D44" s="11"/>
      <c r="E44" s="36"/>
      <c r="F44" s="36"/>
    </row>
    <row r="45" spans="1:6" x14ac:dyDescent="0.25">
      <c r="A45" s="20"/>
      <c r="B45" s="9" t="s">
        <v>51</v>
      </c>
      <c r="C45" s="37">
        <f>F36*0.005</f>
        <v>1.3810681480344003</v>
      </c>
      <c r="D45" s="38">
        <v>20.07</v>
      </c>
      <c r="E45" s="36">
        <f>C45*D45</f>
        <v>27.718037731050412</v>
      </c>
      <c r="F45" s="39">
        <f>E45*1.09</f>
        <v>30.212661126844953</v>
      </c>
    </row>
    <row r="46" spans="1:6" x14ac:dyDescent="0.25">
      <c r="A46" s="20"/>
      <c r="B46" s="9"/>
      <c r="C46" s="37"/>
      <c r="D46" s="38"/>
      <c r="E46" s="36"/>
      <c r="F46" s="39"/>
    </row>
    <row r="47" spans="1:6" x14ac:dyDescent="0.25">
      <c r="A47" s="20"/>
      <c r="B47" s="9" t="s">
        <v>168</v>
      </c>
      <c r="C47" s="37">
        <f>F36*0.108</f>
        <v>29.831071997543042</v>
      </c>
      <c r="D47" s="38">
        <v>8.42</v>
      </c>
      <c r="E47" s="36">
        <f>C47*D47</f>
        <v>251.1776262193124</v>
      </c>
      <c r="F47" s="39">
        <f>E47*1.09</f>
        <v>273.78361257905055</v>
      </c>
    </row>
    <row r="48" spans="1:6" x14ac:dyDescent="0.25">
      <c r="A48" s="20"/>
      <c r="B48" s="9"/>
      <c r="C48" s="37"/>
      <c r="D48" s="11"/>
      <c r="E48" s="20"/>
      <c r="F48" s="39"/>
    </row>
    <row r="49" spans="1:6" x14ac:dyDescent="0.25">
      <c r="A49" s="19"/>
      <c r="B49" s="40" t="s">
        <v>137</v>
      </c>
      <c r="C49" s="41">
        <f>C43+C45+C47</f>
        <v>276.21362960688003</v>
      </c>
      <c r="D49" s="42"/>
      <c r="E49" s="43">
        <f>E43+E45+E47</f>
        <v>2038.0063582825151</v>
      </c>
      <c r="F49" s="44">
        <f>F43+F45+F47</f>
        <v>2221.4269305279417</v>
      </c>
    </row>
    <row r="50" spans="1:6" x14ac:dyDescent="0.25">
      <c r="A50" s="15"/>
      <c r="B50" s="45" t="s">
        <v>29</v>
      </c>
      <c r="C50" s="46"/>
      <c r="D50" s="47"/>
      <c r="E50" s="46"/>
      <c r="F50" s="48">
        <f>F49+F9</f>
        <v>2221.4269305279417</v>
      </c>
    </row>
    <row r="51" spans="1:6" x14ac:dyDescent="0.25">
      <c r="A51" s="8" t="s">
        <v>181</v>
      </c>
      <c r="B51" s="8"/>
      <c r="C51" s="8"/>
      <c r="D51" s="8"/>
      <c r="E51" s="8"/>
      <c r="F51" s="8"/>
    </row>
    <row r="53" spans="1:6" x14ac:dyDescent="0.25">
      <c r="B53" s="54" t="s">
        <v>155</v>
      </c>
    </row>
    <row r="54" spans="1:6" x14ac:dyDescent="0.25">
      <c r="B54" s="97"/>
    </row>
    <row r="55" spans="1:6" x14ac:dyDescent="0.25">
      <c r="B55" s="54" t="s">
        <v>156</v>
      </c>
    </row>
  </sheetData>
  <phoneticPr fontId="0" type="noConversion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3.1</vt:lpstr>
      <vt:lpstr>С3.1</vt:lpstr>
      <vt:lpstr>3.2</vt:lpstr>
      <vt:lpstr>С3.2</vt:lpstr>
      <vt:lpstr>3.3</vt:lpstr>
      <vt:lpstr>С3.3</vt:lpstr>
      <vt:lpstr>3.4</vt:lpstr>
      <vt:lpstr>С3.4</vt:lpstr>
      <vt:lpstr>3.6</vt:lpstr>
      <vt:lpstr>С3.6</vt:lpstr>
      <vt:lpstr>3.5</vt:lpstr>
      <vt:lpstr>С3.5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С6.1</vt:lpstr>
      <vt:lpstr>С6.2</vt:lpstr>
      <vt:lpstr>С6.3</vt:lpstr>
      <vt:lpstr>С6.4</vt:lpstr>
      <vt:lpstr>С6.5</vt:lpstr>
      <vt:lpstr>С6.6</vt:lpstr>
      <vt:lpstr>С6.7</vt:lpstr>
      <vt:lpstr>С6.8</vt:lpstr>
      <vt:lpstr>С6.9</vt:lpstr>
      <vt:lpstr>С6.10</vt:lpstr>
      <vt:lpstr>С6.11</vt:lpstr>
      <vt:lpstr>С6.12</vt:lpstr>
      <vt:lpstr>Ставки </vt:lpstr>
      <vt:lpstr>за 1 кВт</vt:lpstr>
      <vt:lpstr>план16-17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Vakulenko</dc:creator>
  <cp:lastModifiedBy>Vakulenko</cp:lastModifiedBy>
  <cp:lastPrinted>2016-10-24T07:55:29Z</cp:lastPrinted>
  <dcterms:created xsi:type="dcterms:W3CDTF">2015-10-15T06:04:19Z</dcterms:created>
  <dcterms:modified xsi:type="dcterms:W3CDTF">2017-01-31T10:57:28Z</dcterms:modified>
</cp:coreProperties>
</file>